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СЖ\Desktop\ОСЧ 2025 год\"/>
    </mc:Choice>
  </mc:AlternateContent>
  <xr:revisionPtr revIDLastSave="0" documentId="8_{29F071D7-FBBE-443D-8F1C-2A99E1BB7D4E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Смета Проект" sheetId="10" state="hidden" r:id="rId1"/>
    <sheet name="Смета" sheetId="1" r:id="rId2"/>
    <sheet name="Штатное расписание 25" sheetId="12" r:id="rId3"/>
    <sheet name="ХД 2025" sheetId="13" r:id="rId4"/>
    <sheet name="Штатное проект" sheetId="9" state="hidden" r:id="rId5"/>
    <sheet name="ХД" sheetId="2" state="hidden" r:id="rId6"/>
    <sheet name="Штатное " sheetId="11" state="hidden" r:id="rId7"/>
  </sheets>
  <definedNames>
    <definedName name="_xlnm.Print_Area" localSheetId="1">Смета!$A$1:$S$84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N44" i="1"/>
  <c r="N54" i="1"/>
  <c r="O55" i="1"/>
  <c r="N55" i="1"/>
  <c r="O70" i="1"/>
  <c r="N67" i="1"/>
  <c r="N57" i="1"/>
  <c r="O43" i="1"/>
  <c r="H23" i="12"/>
  <c r="B26" i="12"/>
  <c r="D52" i="12"/>
  <c r="E52" i="12" s="1"/>
  <c r="D51" i="12"/>
  <c r="E51" i="12" s="1"/>
  <c r="F65" i="1"/>
  <c r="H52" i="12" l="1"/>
  <c r="H51" i="12"/>
  <c r="N63" i="1"/>
  <c r="J75" i="1"/>
  <c r="D9" i="1"/>
  <c r="N27" i="1"/>
  <c r="K67" i="1"/>
  <c r="K68" i="1" s="1"/>
  <c r="K69" i="1" s="1"/>
  <c r="J67" i="1"/>
  <c r="O66" i="1"/>
  <c r="M67" i="1"/>
  <c r="M65" i="1" s="1"/>
  <c r="O67" i="1" l="1"/>
  <c r="O33" i="12"/>
  <c r="P33" i="12" s="1"/>
  <c r="O32" i="12"/>
  <c r="L19" i="12"/>
  <c r="O19" i="12" s="1"/>
  <c r="P19" i="12" s="1"/>
  <c r="L18" i="12"/>
  <c r="N62" i="1"/>
  <c r="M62" i="1"/>
  <c r="M59" i="1" s="1"/>
  <c r="N37" i="1"/>
  <c r="N36" i="1"/>
  <c r="N52" i="1"/>
  <c r="M52" i="1"/>
  <c r="O48" i="1"/>
  <c r="M46" i="1"/>
  <c r="O62" i="1" l="1"/>
  <c r="N16" i="1"/>
  <c r="N19" i="1" l="1"/>
  <c r="B23" i="12"/>
  <c r="O52" i="1"/>
  <c r="O46" i="1"/>
  <c r="N56" i="1"/>
  <c r="M16" i="1"/>
  <c r="N18" i="1"/>
  <c r="N17" i="1" s="1"/>
  <c r="N29" i="1"/>
  <c r="M25" i="1"/>
  <c r="O27" i="1"/>
  <c r="O71" i="1"/>
  <c r="H39" i="12"/>
  <c r="O38" i="12"/>
  <c r="P38" i="12" s="1"/>
  <c r="H26" i="12"/>
  <c r="O25" i="12"/>
  <c r="O26" i="12" s="1"/>
  <c r="O18" i="12"/>
  <c r="E18" i="12"/>
  <c r="H18" i="12" s="1"/>
  <c r="L25" i="12"/>
  <c r="P39" i="12" l="1"/>
  <c r="K52" i="12"/>
  <c r="O39" i="12"/>
  <c r="P25" i="12"/>
  <c r="P18" i="12"/>
  <c r="P26" i="12" l="1"/>
  <c r="K51" i="12"/>
  <c r="L52" i="12"/>
  <c r="O52" i="12" s="1"/>
  <c r="P52" i="12" s="1"/>
  <c r="N68" i="1"/>
  <c r="K53" i="12"/>
  <c r="L53" i="12" s="1"/>
  <c r="O30" i="1"/>
  <c r="O61" i="1"/>
  <c r="F14" i="1"/>
  <c r="F13" i="1" s="1"/>
  <c r="L51" i="12" l="1"/>
  <c r="O51" i="12" s="1"/>
  <c r="P51" i="12" s="1"/>
  <c r="O68" i="1"/>
  <c r="L58" i="12"/>
  <c r="N69" i="1" s="1"/>
  <c r="N65" i="1" s="1"/>
  <c r="O53" i="12"/>
  <c r="P53" i="12" s="1"/>
  <c r="F38" i="1"/>
  <c r="H33" i="1"/>
  <c r="F35" i="1"/>
  <c r="F33" i="1"/>
  <c r="O63" i="1"/>
  <c r="N60" i="1"/>
  <c r="N59" i="1" s="1"/>
  <c r="K35" i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O47" i="1"/>
  <c r="O37" i="1"/>
  <c r="O45" i="1"/>
  <c r="O57" i="1"/>
  <c r="O41" i="1"/>
  <c r="O53" i="1"/>
  <c r="O56" i="1"/>
  <c r="O54" i="1"/>
  <c r="N51" i="1"/>
  <c r="M51" i="1"/>
  <c r="O42" i="1"/>
  <c r="O49" i="1"/>
  <c r="O50" i="1"/>
  <c r="O36" i="1"/>
  <c r="M44" i="1"/>
  <c r="N40" i="1"/>
  <c r="M40" i="1"/>
  <c r="O39" i="1"/>
  <c r="O38" i="1"/>
  <c r="O29" i="1"/>
  <c r="N28" i="1"/>
  <c r="O28" i="1" s="1"/>
  <c r="O26" i="1"/>
  <c r="O25" i="1"/>
  <c r="M24" i="1"/>
  <c r="O22" i="1"/>
  <c r="O23" i="1"/>
  <c r="O21" i="1"/>
  <c r="O20" i="1"/>
  <c r="O19" i="1"/>
  <c r="O18" i="1"/>
  <c r="K58" i="1" l="1"/>
  <c r="K55" i="1"/>
  <c r="K56" i="1" s="1"/>
  <c r="K57" i="1" s="1"/>
  <c r="F32" i="1"/>
  <c r="O24" i="1"/>
  <c r="M17" i="1"/>
  <c r="O17" i="1"/>
  <c r="O60" i="1"/>
  <c r="O59" i="1" s="1"/>
  <c r="O40" i="1"/>
  <c r="O44" i="1"/>
  <c r="O51" i="1"/>
  <c r="O16" i="1"/>
  <c r="O35" i="12" l="1"/>
  <c r="P35" i="12" s="1"/>
  <c r="O34" i="12"/>
  <c r="L22" i="12"/>
  <c r="L21" i="12"/>
  <c r="L20" i="12"/>
  <c r="L17" i="12"/>
  <c r="O17" i="12" s="1"/>
  <c r="L13" i="12"/>
  <c r="O13" i="12" s="1"/>
  <c r="O14" i="12" s="1"/>
  <c r="N14" i="1" s="1"/>
  <c r="O22" i="12"/>
  <c r="H22" i="12"/>
  <c r="O20" i="12" l="1"/>
  <c r="O23" i="12" s="1"/>
  <c r="P34" i="12"/>
  <c r="O36" i="12"/>
  <c r="O40" i="12" s="1"/>
  <c r="P32" i="12"/>
  <c r="P36" i="12" s="1"/>
  <c r="P40" i="12" s="1"/>
  <c r="P22" i="12"/>
  <c r="K47" i="12" l="1"/>
  <c r="O27" i="12"/>
  <c r="N34" i="1"/>
  <c r="O69" i="1"/>
  <c r="O65" i="1" s="1"/>
  <c r="H35" i="1"/>
  <c r="I68" i="1" l="1"/>
  <c r="J68" i="1" l="1"/>
  <c r="I65" i="1"/>
  <c r="J66" i="1"/>
  <c r="J65" i="1" s="1"/>
  <c r="S65" i="1" l="1"/>
  <c r="T65" i="1"/>
  <c r="K25" i="1"/>
  <c r="I14" i="1"/>
  <c r="I13" i="1" s="1"/>
  <c r="J14" i="1" l="1"/>
  <c r="J13" i="1" s="1"/>
  <c r="E17" i="12" l="1"/>
  <c r="H17" i="12" s="1"/>
  <c r="D21" i="12"/>
  <c r="E21" i="12" s="1"/>
  <c r="D20" i="12"/>
  <c r="E20" i="12" s="1"/>
  <c r="F15" i="1"/>
  <c r="C13" i="13"/>
  <c r="D13" i="13" s="1"/>
  <c r="D15" i="13"/>
  <c r="D14" i="13"/>
  <c r="D12" i="13"/>
  <c r="D8" i="13"/>
  <c r="D7" i="13"/>
  <c r="D6" i="13"/>
  <c r="D5" i="13"/>
  <c r="D4" i="13"/>
  <c r="D3" i="13"/>
  <c r="D2" i="13"/>
  <c r="H20" i="12" l="1"/>
  <c r="P17" i="12"/>
  <c r="P20" i="12"/>
  <c r="D16" i="13"/>
  <c r="D9" i="13"/>
  <c r="J74" i="1" s="1"/>
  <c r="J73" i="1" s="1"/>
  <c r="O76" i="1" l="1"/>
  <c r="O75" i="1"/>
  <c r="P23" i="12"/>
  <c r="P27" i="12" s="1"/>
  <c r="D17" i="13"/>
  <c r="E22" i="12"/>
  <c r="O73" i="1" l="1"/>
  <c r="K15" i="1"/>
  <c r="K26" i="1" s="1"/>
  <c r="K27" i="1" s="1"/>
  <c r="K28" i="1" s="1"/>
  <c r="K29" i="1" s="1"/>
  <c r="K30" i="1" s="1"/>
  <c r="B14" i="12"/>
  <c r="E13" i="12"/>
  <c r="H13" i="12" s="1"/>
  <c r="P13" i="12" l="1"/>
  <c r="H14" i="12"/>
  <c r="H36" i="12"/>
  <c r="K48" i="12"/>
  <c r="G32" i="11"/>
  <c r="G38" i="11" s="1"/>
  <c r="F31" i="11"/>
  <c r="I31" i="11" s="1"/>
  <c r="F30" i="11"/>
  <c r="I30" i="11" s="1"/>
  <c r="F29" i="11"/>
  <c r="I29" i="11" s="1"/>
  <c r="B24" i="11"/>
  <c r="H23" i="11"/>
  <c r="G23" i="11"/>
  <c r="H22" i="11"/>
  <c r="G22" i="11"/>
  <c r="H21" i="11"/>
  <c r="G21" i="11"/>
  <c r="D21" i="11"/>
  <c r="H20" i="11"/>
  <c r="G20" i="11"/>
  <c r="H19" i="11"/>
  <c r="G19" i="11"/>
  <c r="D19" i="11"/>
  <c r="H18" i="11"/>
  <c r="I18" i="11" s="1"/>
  <c r="G18" i="11"/>
  <c r="H17" i="11"/>
  <c r="I17" i="11" s="1"/>
  <c r="G17" i="11"/>
  <c r="E14" i="11"/>
  <c r="G36" i="11" s="1"/>
  <c r="B14" i="11"/>
  <c r="H13" i="11"/>
  <c r="I13" i="11" s="1"/>
  <c r="G13" i="11"/>
  <c r="H12" i="11"/>
  <c r="G12" i="11"/>
  <c r="L80" i="10"/>
  <c r="H80" i="10"/>
  <c r="G80" i="10"/>
  <c r="E78" i="10"/>
  <c r="K77" i="10"/>
  <c r="E77" i="10"/>
  <c r="E76" i="10" s="1"/>
  <c r="M76" i="10"/>
  <c r="L76" i="10"/>
  <c r="H76" i="10"/>
  <c r="G76" i="10"/>
  <c r="M72" i="10"/>
  <c r="L72" i="10"/>
  <c r="K72" i="10"/>
  <c r="K63" i="10"/>
  <c r="M60" i="10"/>
  <c r="M35" i="10" s="1"/>
  <c r="K45" i="10"/>
  <c r="C45" i="10"/>
  <c r="E45" i="10" s="1"/>
  <c r="E44" i="10"/>
  <c r="E36" i="10"/>
  <c r="L35" i="10"/>
  <c r="G34" i="10"/>
  <c r="K24" i="10"/>
  <c r="K16" i="10"/>
  <c r="K15" i="10" s="1"/>
  <c r="E13" i="10"/>
  <c r="E11" i="10" s="1"/>
  <c r="M11" i="10"/>
  <c r="L11" i="10"/>
  <c r="H11" i="10"/>
  <c r="G11" i="10"/>
  <c r="D48" i="12" l="1"/>
  <c r="E48" i="12" s="1"/>
  <c r="E57" i="12" s="1"/>
  <c r="H40" i="12"/>
  <c r="L48" i="12"/>
  <c r="L47" i="12"/>
  <c r="H14" i="11"/>
  <c r="E24" i="11"/>
  <c r="G37" i="11" s="1"/>
  <c r="G39" i="11" s="1"/>
  <c r="I32" i="11"/>
  <c r="C38" i="11" s="1"/>
  <c r="I21" i="11"/>
  <c r="G84" i="10"/>
  <c r="M34" i="10"/>
  <c r="I19" i="11"/>
  <c r="I24" i="11"/>
  <c r="C37" i="11" s="1"/>
  <c r="E34" i="10"/>
  <c r="B25" i="11"/>
  <c r="K79" i="10"/>
  <c r="K76" i="10" s="1"/>
  <c r="I12" i="11"/>
  <c r="I14" i="11" s="1"/>
  <c r="C36" i="11" s="1"/>
  <c r="L34" i="10"/>
  <c r="L84" i="10" s="1"/>
  <c r="H38" i="11"/>
  <c r="I38" i="11" s="1"/>
  <c r="H48" i="12" l="1"/>
  <c r="O48" i="12"/>
  <c r="L57" i="12"/>
  <c r="K46" i="12"/>
  <c r="K49" i="12" s="1"/>
  <c r="O47" i="12"/>
  <c r="L56" i="12"/>
  <c r="D46" i="12"/>
  <c r="M14" i="1"/>
  <c r="P14" i="12"/>
  <c r="G24" i="11"/>
  <c r="G14" i="11"/>
  <c r="I25" i="11"/>
  <c r="C39" i="11"/>
  <c r="G40" i="11" s="1"/>
  <c r="H36" i="11"/>
  <c r="H37" i="11"/>
  <c r="I37" i="11" s="1"/>
  <c r="P48" i="12" l="1"/>
  <c r="O14" i="1"/>
  <c r="N35" i="1"/>
  <c r="N33" i="1" s="1"/>
  <c r="N32" i="1" s="1"/>
  <c r="E46" i="12"/>
  <c r="E55" i="12" s="1"/>
  <c r="M15" i="1" s="1"/>
  <c r="M13" i="1" s="1"/>
  <c r="L46" i="12"/>
  <c r="L55" i="12" s="1"/>
  <c r="N15" i="1" s="1"/>
  <c r="N13" i="1" s="1"/>
  <c r="H39" i="11"/>
  <c r="I36" i="11"/>
  <c r="I39" i="11" s="1"/>
  <c r="O46" i="12" l="1"/>
  <c r="O49" i="12" s="1"/>
  <c r="O54" i="12" s="1"/>
  <c r="O15" i="1"/>
  <c r="O13" i="1" s="1"/>
  <c r="L49" i="12"/>
  <c r="H46" i="12"/>
  <c r="B24" i="9"/>
  <c r="H13" i="9"/>
  <c r="I13" i="9" s="1"/>
  <c r="H12" i="9"/>
  <c r="G13" i="9"/>
  <c r="G12" i="9"/>
  <c r="H17" i="9"/>
  <c r="F29" i="9"/>
  <c r="I29" i="9" s="1"/>
  <c r="F31" i="9"/>
  <c r="I31" i="9" s="1"/>
  <c r="F30" i="9"/>
  <c r="I30" i="9" s="1"/>
  <c r="G32" i="9"/>
  <c r="G38" i="9" s="1"/>
  <c r="E14" i="9"/>
  <c r="S13" i="1" l="1"/>
  <c r="P46" i="12"/>
  <c r="R46" i="12" s="1"/>
  <c r="H14" i="9"/>
  <c r="I12" i="9"/>
  <c r="I14" i="9" s="1"/>
  <c r="K13" i="10" s="1"/>
  <c r="G36" i="9"/>
  <c r="D9" i="2"/>
  <c r="H23" i="9"/>
  <c r="G23" i="9"/>
  <c r="H22" i="9"/>
  <c r="G22" i="9"/>
  <c r="H21" i="9"/>
  <c r="G21" i="9"/>
  <c r="D21" i="9"/>
  <c r="H20" i="9"/>
  <c r="H19" i="9"/>
  <c r="G19" i="9"/>
  <c r="D19" i="9"/>
  <c r="H18" i="9"/>
  <c r="I18" i="9" s="1"/>
  <c r="G18" i="9"/>
  <c r="I17" i="9"/>
  <c r="G17" i="9"/>
  <c r="B14" i="9"/>
  <c r="B25" i="9" s="1"/>
  <c r="I32" i="9" l="1"/>
  <c r="C38" i="9" s="1"/>
  <c r="H38" i="9" s="1"/>
  <c r="I38" i="9" s="1"/>
  <c r="I21" i="9"/>
  <c r="E24" i="9"/>
  <c r="G37" i="9" s="1"/>
  <c r="G39" i="9" s="1"/>
  <c r="I19" i="9"/>
  <c r="G20" i="9"/>
  <c r="I24" i="9" l="1"/>
  <c r="G14" i="9"/>
  <c r="C36" i="9"/>
  <c r="H36" i="9" s="1"/>
  <c r="K14" i="10" s="1"/>
  <c r="K33" i="10" s="1"/>
  <c r="K11" i="10" s="1"/>
  <c r="I25" i="9" l="1"/>
  <c r="G24" i="9"/>
  <c r="C37" i="9"/>
  <c r="C39" i="9" l="1"/>
  <c r="G40" i="9" s="1"/>
  <c r="K36" i="10"/>
  <c r="H37" i="9"/>
  <c r="K43" i="10" s="1"/>
  <c r="I36" i="9"/>
  <c r="K35" i="10" l="1"/>
  <c r="K75" i="10" s="1"/>
  <c r="K34" i="10" s="1"/>
  <c r="H39" i="9"/>
  <c r="I37" i="9"/>
  <c r="I39" i="9" s="1"/>
  <c r="D13" i="2" l="1"/>
  <c r="D16" i="2" l="1"/>
  <c r="D15" i="2"/>
  <c r="D14" i="2"/>
  <c r="D8" i="2"/>
  <c r="D7" i="2"/>
  <c r="D6" i="2"/>
  <c r="D5" i="2"/>
  <c r="D3" i="2"/>
  <c r="D4" i="2"/>
  <c r="D2" i="2"/>
  <c r="D10" i="2" l="1"/>
  <c r="E81" i="10" s="1"/>
  <c r="D17" i="2"/>
  <c r="E82" i="10" s="1"/>
  <c r="E80" i="10" l="1"/>
  <c r="D18" i="2"/>
  <c r="K81" i="10" l="1"/>
  <c r="K82" i="10" s="1"/>
  <c r="K80" i="10" s="1"/>
  <c r="K84" i="10" s="1"/>
  <c r="E84" i="10"/>
  <c r="G35" i="1"/>
  <c r="I35" i="1" s="1"/>
  <c r="J35" i="1" s="1"/>
  <c r="I33" i="1"/>
  <c r="J33" i="1" l="1"/>
  <c r="G38" i="1"/>
  <c r="I38" i="1" s="1"/>
  <c r="J38" i="1" s="1"/>
  <c r="I32" i="1" l="1"/>
  <c r="J32" i="1"/>
  <c r="H27" i="12"/>
  <c r="D47" i="12"/>
  <c r="M34" i="1"/>
  <c r="O34" i="1" s="1"/>
  <c r="J78" i="1" l="1"/>
  <c r="D49" i="12"/>
  <c r="E47" i="12"/>
  <c r="E56" i="12" l="1"/>
  <c r="M35" i="1" s="1"/>
  <c r="E49" i="12"/>
  <c r="H47" i="12"/>
  <c r="H49" i="12" l="1"/>
  <c r="P47" i="12"/>
  <c r="O35" i="1"/>
  <c r="O33" i="1" s="1"/>
  <c r="O32" i="1" s="1"/>
  <c r="M33" i="1"/>
  <c r="M32" i="1" s="1"/>
  <c r="S32" i="1" l="1"/>
  <c r="O78" i="1"/>
  <c r="O80" i="1" s="1"/>
  <c r="P49" i="12"/>
  <c r="P54" i="12" s="1"/>
  <c r="H54" i="12"/>
</calcChain>
</file>

<file path=xl/sharedStrings.xml><?xml version="1.0" encoding="utf-8"?>
<sst xmlns="http://schemas.openxmlformats.org/spreadsheetml/2006/main" count="533" uniqueCount="289">
  <si>
    <t>Председатель ТСЖ____________Кузнецов  А.С.</t>
  </si>
  <si>
    <t>ДОХОДЫ</t>
  </si>
  <si>
    <t>РАСХОДЫ</t>
  </si>
  <si>
    <t>I</t>
  </si>
  <si>
    <t>УПРАВЛЕНИЕ МКД</t>
  </si>
  <si>
    <t>УПРАВЛЕНИЕ (административное руководство)</t>
  </si>
  <si>
    <t>Заработная плата:</t>
  </si>
  <si>
    <t>Социальные отчисления</t>
  </si>
  <si>
    <t>Банковские услуги</t>
  </si>
  <si>
    <t>Аренда земельного участка</t>
  </si>
  <si>
    <t>Аттестация и повышение квалификации сотрудников</t>
  </si>
  <si>
    <t>Страхование гражданской ответственности</t>
  </si>
  <si>
    <t>I.I</t>
  </si>
  <si>
    <t>Непредвиденные расходы</t>
  </si>
  <si>
    <t>II</t>
  </si>
  <si>
    <t>Заработная плата</t>
  </si>
  <si>
    <t>Моющие средства</t>
  </si>
  <si>
    <t>Обслуживание лифтов</t>
  </si>
  <si>
    <t>Дезинфекциф мусоропроводов</t>
  </si>
  <si>
    <t>Проверка работы вентканалов</t>
  </si>
  <si>
    <t>Обслуживание ППАиДУ</t>
  </si>
  <si>
    <t>Подготовка к весенне-летней эксплуатации</t>
  </si>
  <si>
    <t>Страхование лифтов</t>
  </si>
  <si>
    <t>Подготовка к осенне-зимней эксплуатации</t>
  </si>
  <si>
    <t>Ремонт общего имущества</t>
  </si>
  <si>
    <t xml:space="preserve">Локальный ремонт на этажах </t>
  </si>
  <si>
    <t>Благоустройство территории</t>
  </si>
  <si>
    <t>Приобретение садово-паркового инвентаря</t>
  </si>
  <si>
    <t>Видеонаблюдение и въездная зона</t>
  </si>
  <si>
    <t>Устранение аварийных ситуаций</t>
  </si>
  <si>
    <t xml:space="preserve">Замер сопротивления изоляции </t>
  </si>
  <si>
    <t>II.I</t>
  </si>
  <si>
    <t>Электричество мест общего пользования</t>
  </si>
  <si>
    <t>Расходы на воду общего пользования</t>
  </si>
  <si>
    <t>II.II</t>
  </si>
  <si>
    <t>III</t>
  </si>
  <si>
    <t>Содержание  охраны территории</t>
  </si>
  <si>
    <t>Содержание охраны придомовой территории</t>
  </si>
  <si>
    <t>Ремонт помещения охраны (КПП)</t>
  </si>
  <si>
    <t>IV</t>
  </si>
  <si>
    <t>Доходы от хозяйственной деятельности</t>
  </si>
  <si>
    <t>Распределение дохода от хоз. деятельности</t>
  </si>
  <si>
    <t>Взносы за все виды аренды</t>
  </si>
  <si>
    <t>Юридические услуги (по договору)</t>
  </si>
  <si>
    <t xml:space="preserve">Агентское вознаграждение </t>
  </si>
  <si>
    <t>Судебные издержки и штрафы</t>
  </si>
  <si>
    <t>Окраска бордюров, разметка (обновление)</t>
  </si>
  <si>
    <t>Замена светильников МОП</t>
  </si>
  <si>
    <t>ВСЕГО Доходов по смете</t>
  </si>
  <si>
    <t>ВСЕГО  Расходов по смете</t>
  </si>
  <si>
    <t>Ставка</t>
  </si>
  <si>
    <t>Площадь</t>
  </si>
  <si>
    <t xml:space="preserve">Взносы на содержание административного управления многоквартирным домом  </t>
  </si>
  <si>
    <t>ВЗНОСЫ на СОДЕРЖАНИЕ и  ТЕКУЩИЙ РЕМОНТ ОБЩЕГО ИМУЩЕСТВА</t>
  </si>
  <si>
    <t xml:space="preserve">РАСХОДЫ на СОДЕРЖАНИЕ и ТЕКУЩИЙ РЕМОНТ ОБЩЕГО ИМУЩЕСТВА </t>
  </si>
  <si>
    <t>Аренда</t>
  </si>
  <si>
    <t>Юникредит</t>
  </si>
  <si>
    <t>Вымпелком</t>
  </si>
  <si>
    <t>Ставка в месяц</t>
  </si>
  <si>
    <t>Ставка в квартал</t>
  </si>
  <si>
    <t>Ростелеком</t>
  </si>
  <si>
    <t>МТС</t>
  </si>
  <si>
    <t>МГТС</t>
  </si>
  <si>
    <t>Итого</t>
  </si>
  <si>
    <t>Вознаграждения</t>
  </si>
  <si>
    <t>Мегафон</t>
  </si>
  <si>
    <t>Монтажкоммуникация</t>
  </si>
  <si>
    <t>ИСБ</t>
  </si>
  <si>
    <t>РСВО ФГУП</t>
  </si>
  <si>
    <t>Управляющий</t>
  </si>
  <si>
    <t>Главный бухгалтер</t>
  </si>
  <si>
    <t>Главный инженер</t>
  </si>
  <si>
    <t xml:space="preserve">главный инженер  (57500)    </t>
  </si>
  <si>
    <t xml:space="preserve">слесаря (30 000)                               </t>
  </si>
  <si>
    <t xml:space="preserve">уборщицы                                            </t>
  </si>
  <si>
    <t xml:space="preserve">комплексные уборщики              </t>
  </si>
  <si>
    <t xml:space="preserve">уборщик территории              </t>
  </si>
  <si>
    <t xml:space="preserve">доплаты за отсутств.х работников </t>
  </si>
  <si>
    <t>Расходы на сайт</t>
  </si>
  <si>
    <t xml:space="preserve">Содержание и ремонт общей собственности (1 этажи) </t>
  </si>
  <si>
    <t>Содержание и ремонт общей собственности (нежилые помещения)</t>
  </si>
  <si>
    <t>Взносы автовладельцев</t>
  </si>
  <si>
    <t>Взносы соб.без автомаш</t>
  </si>
  <si>
    <t>УСН</t>
  </si>
  <si>
    <t>Кадастровые работы</t>
  </si>
  <si>
    <t>СиР</t>
  </si>
  <si>
    <t>II.III</t>
  </si>
  <si>
    <t>Расходы на общедомовые нужды</t>
  </si>
  <si>
    <t>ГИС</t>
  </si>
  <si>
    <t>Содержание и ремонт общей собственности</t>
  </si>
  <si>
    <t>Ремонт въездной зоны (КПП)</t>
  </si>
  <si>
    <t>"__" _________ 2024 года</t>
  </si>
  <si>
    <t>Председатель ТСЖ_________________Кузнецов  А.С.</t>
  </si>
  <si>
    <t>ТСЖ "Наш дом-Алтуфьево,89"</t>
  </si>
  <si>
    <t>на 2024 год</t>
  </si>
  <si>
    <t>Должность</t>
  </si>
  <si>
    <t>Кол-во штатных единиц</t>
  </si>
  <si>
    <t>Кол-во месяцев</t>
  </si>
  <si>
    <t>Должностной оклад/ месяц, руб. 2023 годд</t>
  </si>
  <si>
    <t>% повышения</t>
  </si>
  <si>
    <t>Фонд заработной платы в месяц, руб.</t>
  </si>
  <si>
    <t>Обслуживающий  персонал</t>
  </si>
  <si>
    <t>Слесарь-сантехник</t>
  </si>
  <si>
    <t>Уборщица общедомовых помещений</t>
  </si>
  <si>
    <t>Лето</t>
  </si>
  <si>
    <t>Зима</t>
  </si>
  <si>
    <t>Рабочий комплекской уборки</t>
  </si>
  <si>
    <t>Всего</t>
  </si>
  <si>
    <t>Исполнение обязанностей временно отсутствующих сотрудников на период отпусков и болезни</t>
  </si>
  <si>
    <t>% от оклада</t>
  </si>
  <si>
    <t>Всего расходов на оплату труда на 2024 год</t>
  </si>
  <si>
    <t>Страховые взносы в год (30.2%)</t>
  </si>
  <si>
    <t>Заработная плата АУП</t>
  </si>
  <si>
    <t>Заработная плата обслуживающего персонала</t>
  </si>
  <si>
    <t>Замещение</t>
  </si>
  <si>
    <t>"__"____________ 2024 года</t>
  </si>
  <si>
    <t>2024 год</t>
  </si>
  <si>
    <t>Резервный фонд</t>
  </si>
  <si>
    <t>ставка</t>
  </si>
  <si>
    <t>Тарковская ИП</t>
  </si>
  <si>
    <t>ОЗОН</t>
  </si>
  <si>
    <t>В год</t>
  </si>
  <si>
    <t>2023 год План</t>
  </si>
  <si>
    <t>2023 год Факт</t>
  </si>
  <si>
    <t>Штрафы ПФР</t>
  </si>
  <si>
    <t>Спецодежда</t>
  </si>
  <si>
    <t>Благоустройство дома</t>
  </si>
  <si>
    <t>Ремонт асфальтового покрытия</t>
  </si>
  <si>
    <t>%% по остаткам на счетах</t>
  </si>
  <si>
    <t>2023 Факт</t>
  </si>
  <si>
    <t>Фонд заработной платы за год, руб. 2024</t>
  </si>
  <si>
    <t>Должностной оклад/ месяц руб. 2024</t>
  </si>
  <si>
    <t>Сумма в год 2024</t>
  </si>
  <si>
    <t>ФЗП в год 2024</t>
  </si>
  <si>
    <t>Должностной оклад/ месяц, руб.2024</t>
  </si>
  <si>
    <t>Сумма в год 2023</t>
  </si>
  <si>
    <t>Расходы на уборку территории в зимний период(реагенты, инструмент, доп.раб.сила</t>
  </si>
  <si>
    <t>Должностной оклад/ месяц, руб. 2023 год</t>
  </si>
  <si>
    <t>Сантехника,электрика, материалы, запчасти</t>
  </si>
  <si>
    <t xml:space="preserve">в т.ч. Оплата моб.связи </t>
  </si>
  <si>
    <t xml:space="preserve">            картриджи, ремонт оргтехники</t>
  </si>
  <si>
    <t xml:space="preserve">            транспортные расходы, доставка</t>
  </si>
  <si>
    <t xml:space="preserve">            почтовые расходы</t>
  </si>
  <si>
    <t xml:space="preserve">           Программное обеспечение</t>
  </si>
  <si>
    <t xml:space="preserve">            вода</t>
  </si>
  <si>
    <t xml:space="preserve">            прочее</t>
  </si>
  <si>
    <t xml:space="preserve">           Гор.тел.связь и интернет</t>
  </si>
  <si>
    <t xml:space="preserve">           канцтовары</t>
  </si>
  <si>
    <t>Содержание администрации</t>
  </si>
  <si>
    <r>
      <t xml:space="preserve">дог. 01.01.2020 </t>
    </r>
    <r>
      <rPr>
        <b/>
        <sz val="14"/>
        <color theme="1"/>
        <rFont val="Calibri"/>
        <family val="2"/>
        <charset val="204"/>
        <scheme val="minor"/>
      </rPr>
      <t>20 000 руб.мес</t>
    </r>
  </si>
  <si>
    <r>
      <t xml:space="preserve">дог. 21.03.2018 </t>
    </r>
    <r>
      <rPr>
        <b/>
        <sz val="14"/>
        <color theme="1"/>
        <rFont val="Calibri"/>
        <family val="2"/>
        <charset val="204"/>
        <scheme val="minor"/>
      </rPr>
      <t>4346руб\мес.</t>
    </r>
  </si>
  <si>
    <r>
      <t xml:space="preserve">дог. От 31.10.2020 </t>
    </r>
    <r>
      <rPr>
        <b/>
        <sz val="14"/>
        <color theme="1"/>
        <rFont val="Calibri"/>
        <family val="2"/>
        <charset val="204"/>
        <scheme val="minor"/>
      </rPr>
      <t>165 000р.мес</t>
    </r>
    <r>
      <rPr>
        <sz val="14"/>
        <color theme="1"/>
        <rFont val="Calibri"/>
        <family val="2"/>
        <charset val="204"/>
        <scheme val="minor"/>
      </rPr>
      <t>.</t>
    </r>
  </si>
  <si>
    <t>договор аренды № М-02-013838 от 27.07.1999</t>
  </si>
  <si>
    <r>
      <t>дог.03.07.23</t>
    </r>
    <r>
      <rPr>
        <b/>
        <sz val="14"/>
        <color theme="1"/>
        <rFont val="Calibri"/>
        <family val="2"/>
        <charset val="204"/>
        <scheme val="minor"/>
      </rPr>
      <t xml:space="preserve"> 54000 руб.</t>
    </r>
  </si>
  <si>
    <r>
      <t xml:space="preserve">дог.03.07.23 </t>
    </r>
    <r>
      <rPr>
        <b/>
        <sz val="14"/>
        <color theme="1"/>
        <rFont val="Calibri"/>
        <family val="2"/>
        <charset val="204"/>
        <scheme val="minor"/>
      </rPr>
      <t>10000 руб.</t>
    </r>
  </si>
  <si>
    <t>полис 12378285991000 от 11.07.23</t>
  </si>
  <si>
    <t>полис 106/23/153-168ком/917 от 11.07.23</t>
  </si>
  <si>
    <r>
      <t xml:space="preserve">дог. 27.07.23 </t>
    </r>
    <r>
      <rPr>
        <b/>
        <sz val="14"/>
        <color theme="1"/>
        <rFont val="Calibri"/>
        <family val="2"/>
        <charset val="204"/>
        <scheme val="minor"/>
      </rPr>
      <t>2500р</t>
    </r>
    <r>
      <rPr>
        <sz val="14"/>
        <color theme="1"/>
        <rFont val="Calibri"/>
        <family val="2"/>
        <charset val="204"/>
        <scheme val="minor"/>
      </rPr>
      <t>.</t>
    </r>
  </si>
  <si>
    <r>
      <t xml:space="preserve">дог. 14.12.20 </t>
    </r>
    <r>
      <rPr>
        <b/>
        <sz val="14"/>
        <color theme="1"/>
        <rFont val="Calibri"/>
        <family val="2"/>
        <charset val="204"/>
        <scheme val="minor"/>
      </rPr>
      <t>96000руб\мес</t>
    </r>
  </si>
  <si>
    <t>Ремонт забора и покраска забора</t>
  </si>
  <si>
    <t>Общая площадь для начислений: 22 824,5 кв.м.</t>
  </si>
  <si>
    <t>"Согласовано"</t>
  </si>
  <si>
    <t>Сантехник-электрик</t>
  </si>
  <si>
    <t>ПРОЕКТ СМЕТЫ   Доходов и Расходов ТСЖ на 2024 г.</t>
  </si>
  <si>
    <t>ПРОЕКТ Штатного расписания сотрудников</t>
  </si>
  <si>
    <t>Утверждено на общем собрании</t>
  </si>
  <si>
    <t>членов ТСЖ "Наш дом - Алтуфьево,89"</t>
  </si>
  <si>
    <t>"13"апреля 2024 года</t>
  </si>
  <si>
    <t>Штатное расписание сотрудников</t>
  </si>
  <si>
    <t>ТСЖ "Наш дом - Алтуфьево,89"</t>
  </si>
  <si>
    <t>на 2025 год</t>
  </si>
  <si>
    <t>Тарифная ставка
(оклад) и пр.,
руб.</t>
  </si>
  <si>
    <t>Всего Заработная плата в месяц, руб.</t>
  </si>
  <si>
    <t>Административно-управленческий персонал</t>
  </si>
  <si>
    <t>Исполнение обязанностей временно отсутсвующих сотрудников на период отпуска и болезни</t>
  </si>
  <si>
    <t>Всего расходов на оплату труда</t>
  </si>
  <si>
    <t>Страховые взносы</t>
  </si>
  <si>
    <t>сумма в месяц</t>
  </si>
  <si>
    <t>Сантехника электрика, материалы, запчасти</t>
  </si>
  <si>
    <t>Юридические услуги</t>
  </si>
  <si>
    <t>Рабочий комплексной уборки</t>
  </si>
  <si>
    <t>Обслуживание ППАиДУ (пожарная система и дымоудаления)</t>
  </si>
  <si>
    <t>Общая площадь для начислений:.</t>
  </si>
  <si>
    <t>Сайт</t>
  </si>
  <si>
    <t>Обслуживание лифтов 12 шт</t>
  </si>
  <si>
    <t>Судебные издержки( госпошлины,представительство в судах)</t>
  </si>
  <si>
    <t>Обследование лифтов ( 12 шт) экспертиза</t>
  </si>
  <si>
    <t>Сбербанк</t>
  </si>
  <si>
    <t>Ру центр</t>
  </si>
  <si>
    <t>Моющие средства места общего пользования</t>
  </si>
  <si>
    <t>ИП "Пантелеев Ю.Д</t>
  </si>
  <si>
    <t>АО "Мослифт"</t>
  </si>
  <si>
    <t>ООО "Защита-Н"</t>
  </si>
  <si>
    <t>ООО"Измайлов системы безопасности"</t>
  </si>
  <si>
    <t>ООО"Мосэкспертлифт"</t>
  </si>
  <si>
    <t>ООО "ПожКонтроль"</t>
  </si>
  <si>
    <t>Размещение информации в системе ГИС ЖКХ</t>
  </si>
  <si>
    <t>"Росгострах"</t>
  </si>
  <si>
    <t xml:space="preserve">ООО"ВОДАМОЙ" </t>
  </si>
  <si>
    <t>Рабочий комплексной   уборки</t>
  </si>
  <si>
    <t>Содержание администрации ( офиса), в том числе:</t>
  </si>
  <si>
    <t>Затраты по штатному расписанию</t>
  </si>
  <si>
    <t>30.2%</t>
  </si>
  <si>
    <t>Заказ через ОZON, др. продавцов</t>
  </si>
  <si>
    <t>Договор с ЧОО "ОСА"</t>
  </si>
  <si>
    <t>Прочее</t>
  </si>
  <si>
    <t>Разница</t>
  </si>
  <si>
    <t>зима</t>
  </si>
  <si>
    <t>лето</t>
  </si>
  <si>
    <t>Уборщица общедомовых помещений (2 подъезда=1 ставка)</t>
  </si>
  <si>
    <t xml:space="preserve">Январь-май 2025 года </t>
  </si>
  <si>
    <t>Площадь (м.кв)</t>
  </si>
  <si>
    <t>Всего за 2025 год</t>
  </si>
  <si>
    <t>Подбор кадров</t>
  </si>
  <si>
    <t>Взносы соб.без автомашин</t>
  </si>
  <si>
    <t>Взносы на СПТ собственников жилых помещений</t>
  </si>
  <si>
    <t>Страховые взносы(30.2%)</t>
  </si>
  <si>
    <t>Содержание и ремонт общей собственности(жилые помещения 2-22 этажи)</t>
  </si>
  <si>
    <t>Итого за январь-май 2025</t>
  </si>
  <si>
    <t>Итого за июнь-декабрь 2025</t>
  </si>
  <si>
    <t xml:space="preserve">Июнь-декабрь 2025 года </t>
  </si>
  <si>
    <t>Всего ФОТ за период, руб.</t>
  </si>
  <si>
    <t>Всего за 2025 годд</t>
  </si>
  <si>
    <t>Технический персонал</t>
  </si>
  <si>
    <t>Заработная плата ТП</t>
  </si>
  <si>
    <t>ФОТ за период</t>
  </si>
  <si>
    <t>Итого расходы за период</t>
  </si>
  <si>
    <t>Дезинфекция мусоропроводов</t>
  </si>
  <si>
    <t>Расходы на противопожарную безопасность</t>
  </si>
  <si>
    <t>Ремонт лифтов(в соответствии с экспертизой)</t>
  </si>
  <si>
    <t>Гл. инженер</t>
  </si>
  <si>
    <t>Договор с управляющим+Взносы</t>
  </si>
  <si>
    <t>Замер сопротивления</t>
  </si>
  <si>
    <t>Ремонт и содержание общего имущества</t>
  </si>
  <si>
    <t>Остаток Хозяйственной деятельности 2025 года</t>
  </si>
  <si>
    <t xml:space="preserve">Техническое обслуживания системы видеонаблюдения </t>
  </si>
  <si>
    <t xml:space="preserve">          питьевая вода в офис </t>
  </si>
  <si>
    <t xml:space="preserve">        Оплата моб.связи </t>
  </si>
  <si>
    <t>Декларация энергоэффективности дома</t>
  </si>
  <si>
    <t>Непредвиденные расходы (привлечение подрядчиков НА ХОЯЙСТВЕННО-СТРОИТЕЛЬНЫЕ работы, дополнителной рабочей силы и техники в зимний период, закупка реагентов и т.п.)</t>
  </si>
  <si>
    <t>Старший сантехник-электрик</t>
  </si>
  <si>
    <t>ПРОЕКТ СМЕТЫ   Доходов и Расходов ТСЖ на 2025 г.</t>
  </si>
  <si>
    <t>Проект Штатного расписания сотрудников</t>
  </si>
  <si>
    <t>%% по депозитам и остаткам на счетах</t>
  </si>
  <si>
    <t>Компенсация потерь от неучтенных расходов воды</t>
  </si>
  <si>
    <t>Контроль придомовой территории силами ЧОО</t>
  </si>
  <si>
    <t>Контроль придомовой территории силами консьержей</t>
  </si>
  <si>
    <t>Доходы</t>
  </si>
  <si>
    <t>Всего, в т.ч.</t>
  </si>
  <si>
    <t>СОДЕРЖАНИЕ ПРИДОМОВОЙ ТЕРРИТОРИИ</t>
  </si>
  <si>
    <t>ДОХОДЫ ОТ ХОЗЯЙСТВЕННОЙ ДЕЯТЕЛЬНОСТИ</t>
  </si>
  <si>
    <t>РАСПРЕДЕЛЕНИЕ ДОХОДОВ ОТ ХОЗЯЙТСТВЕННОЙ ДЕЯТЕЛЬНОСТИ</t>
  </si>
  <si>
    <t>____________Кузнецов  А.С.</t>
  </si>
  <si>
    <t>"_____"____________ 2025 года</t>
  </si>
  <si>
    <t>_______________Кузнецов  А.С.</t>
  </si>
  <si>
    <t>ВСЕГО</t>
  </si>
  <si>
    <t>Итого расходы на дом:</t>
  </si>
  <si>
    <t>Итого расходы на придомовую территорию:</t>
  </si>
  <si>
    <t xml:space="preserve">                     Всего расходов по смете</t>
  </si>
  <si>
    <t>Итого расходы на дом</t>
  </si>
  <si>
    <t>Договор на услуги по юридическому абонентского обслуживания</t>
  </si>
  <si>
    <t>ООО "ЦИТИ"</t>
  </si>
  <si>
    <t>Почта РФ</t>
  </si>
  <si>
    <t>силами сотрудников ТСЖ, договоры с пр.организациями</t>
  </si>
  <si>
    <t>АО Мосэнергосбыт</t>
  </si>
  <si>
    <t>Расчеты с АО Мосводоканал</t>
  </si>
  <si>
    <t>Договор с ИП Кошеев А.М.</t>
  </si>
  <si>
    <t>ИП Полуэктов и пр.</t>
  </si>
  <si>
    <t>ПАО МТС, ПАО Мегафон</t>
  </si>
  <si>
    <t>ПАО МГТС, ПАО МТС</t>
  </si>
  <si>
    <t>Председатель правления ТСЖ "Наш дом -Алтуфьево,89"</t>
  </si>
  <si>
    <t>прочие поставщики</t>
  </si>
  <si>
    <t>ИП  Чигвинцев А.В.</t>
  </si>
  <si>
    <t>Оzon, Валдберрис, Яндекс и пр.</t>
  </si>
  <si>
    <t>Казначейство</t>
  </si>
  <si>
    <t>ДПО ТУК АНО</t>
  </si>
  <si>
    <t>Оzon, Валдберрис, Яндекс, рем.центр</t>
  </si>
  <si>
    <t>Рабочий для обслуживания придомовой территории</t>
  </si>
  <si>
    <t>Оплата труда рабочего для обслуживания придомовой территории</t>
  </si>
  <si>
    <t>Разметка придомовой территории</t>
  </si>
  <si>
    <t>Подрядчики</t>
  </si>
  <si>
    <t>Договор юридического абонентского обслуживания</t>
  </si>
  <si>
    <t>ПАО СК «Росгосстрах»</t>
  </si>
  <si>
    <t>СиламиТСЖ +МОЭК</t>
  </si>
  <si>
    <t>ООО "ЦИР"</t>
  </si>
  <si>
    <t>ООО " Капиталстрой"</t>
  </si>
  <si>
    <t>ООО "Хэдхантер"</t>
  </si>
  <si>
    <t xml:space="preserve">Договор  оказания услуг по управлению МКД </t>
  </si>
  <si>
    <t>Штатное расписание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</si>
</sst>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.00_р_._-;\-* #,##0.00_р_._-;_-* &quot;-&quot;??_р_._-;_-@_-"/>
    <numFmt numFmtId="167" formatCode="#,##0.0"/>
    <numFmt numFmtId="168" formatCode="#,##0.00_ ;\-#,##0.00\ "/>
    <numFmt numFmtId="169" formatCode="0.000%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b/>
      <i/>
      <u/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8">
    <xf numFmtId="0" fontId="0" fillId="0" borderId="0" xfId="0"/>
    <xf numFmtId="0" fontId="3" fillId="0" borderId="1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4" borderId="12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4" borderId="15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/>
    <xf numFmtId="0" fontId="3" fillId="6" borderId="21" xfId="0" applyFont="1" applyFill="1" applyBorder="1"/>
    <xf numFmtId="0" fontId="3" fillId="6" borderId="22" xfId="0" applyFont="1" applyFill="1" applyBorder="1"/>
    <xf numFmtId="0" fontId="4" fillId="4" borderId="11" xfId="0" applyFont="1" applyFill="1" applyBorder="1"/>
    <xf numFmtId="0" fontId="3" fillId="4" borderId="25" xfId="0" applyFont="1" applyFill="1" applyBorder="1"/>
    <xf numFmtId="0" fontId="3" fillId="4" borderId="13" xfId="0" applyFont="1" applyFill="1" applyBorder="1"/>
    <xf numFmtId="0" fontId="4" fillId="4" borderId="14" xfId="0" applyFont="1" applyFill="1" applyBorder="1"/>
    <xf numFmtId="0" fontId="4" fillId="4" borderId="13" xfId="0" applyFont="1" applyFill="1" applyBorder="1"/>
    <xf numFmtId="0" fontId="3" fillId="2" borderId="22" xfId="0" applyFont="1" applyFill="1" applyBorder="1"/>
    <xf numFmtId="4" fontId="3" fillId="2" borderId="22" xfId="0" applyNumberFormat="1" applyFont="1" applyFill="1" applyBorder="1"/>
    <xf numFmtId="0" fontId="4" fillId="0" borderId="18" xfId="0" applyFont="1" applyBorder="1"/>
    <xf numFmtId="0" fontId="3" fillId="0" borderId="12" xfId="0" applyFont="1" applyBorder="1"/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/>
    <xf numFmtId="0" fontId="10" fillId="0" borderId="0" xfId="0" applyFont="1"/>
    <xf numFmtId="0" fontId="4" fillId="4" borderId="14" xfId="0" applyFont="1" applyFill="1" applyBorder="1" applyAlignment="1">
      <alignment wrapText="1"/>
    </xf>
    <xf numFmtId="43" fontId="4" fillId="4" borderId="11" xfId="1" applyFont="1" applyFill="1" applyBorder="1"/>
    <xf numFmtId="0" fontId="2" fillId="0" borderId="0" xfId="0" applyFont="1"/>
    <xf numFmtId="43" fontId="12" fillId="0" borderId="0" xfId="1" applyFont="1"/>
    <xf numFmtId="43" fontId="12" fillId="0" borderId="0" xfId="1" applyFont="1" applyAlignment="1">
      <alignment wrapText="1"/>
    </xf>
    <xf numFmtId="43" fontId="11" fillId="0" borderId="0" xfId="1" applyFont="1"/>
    <xf numFmtId="164" fontId="0" fillId="0" borderId="0" xfId="0" applyNumberFormat="1"/>
    <xf numFmtId="164" fontId="2" fillId="0" borderId="0" xfId="0" applyNumberFormat="1" applyFont="1"/>
    <xf numFmtId="0" fontId="14" fillId="4" borderId="15" xfId="0" applyFont="1" applyFill="1" applyBorder="1"/>
    <xf numFmtId="43" fontId="5" fillId="0" borderId="0" xfId="1" applyFont="1"/>
    <xf numFmtId="43" fontId="4" fillId="0" borderId="0" xfId="1" applyFont="1"/>
    <xf numFmtId="43" fontId="9" fillId="2" borderId="5" xfId="1" applyFont="1" applyFill="1" applyBorder="1"/>
    <xf numFmtId="43" fontId="4" fillId="0" borderId="8" xfId="1" applyFont="1" applyBorder="1"/>
    <xf numFmtId="43" fontId="4" fillId="4" borderId="14" xfId="1" applyFont="1" applyFill="1" applyBorder="1"/>
    <xf numFmtId="43" fontId="4" fillId="4" borderId="17" xfId="1" applyFont="1" applyFill="1" applyBorder="1"/>
    <xf numFmtId="43" fontId="3" fillId="6" borderId="21" xfId="1" applyFont="1" applyFill="1" applyBorder="1"/>
    <xf numFmtId="43" fontId="3" fillId="7" borderId="21" xfId="1" applyFont="1" applyFill="1" applyBorder="1"/>
    <xf numFmtId="0" fontId="12" fillId="4" borderId="15" xfId="0" applyFont="1" applyFill="1" applyBorder="1"/>
    <xf numFmtId="0" fontId="9" fillId="2" borderId="6" xfId="0" applyFont="1" applyFill="1" applyBorder="1" applyAlignment="1">
      <alignment wrapText="1"/>
    </xf>
    <xf numFmtId="43" fontId="15" fillId="0" borderId="0" xfId="1" applyFont="1"/>
    <xf numFmtId="43" fontId="12" fillId="3" borderId="0" xfId="1" applyFont="1" applyFill="1"/>
    <xf numFmtId="164" fontId="4" fillId="0" borderId="0" xfId="0" applyNumberFormat="1" applyFont="1"/>
    <xf numFmtId="166" fontId="0" fillId="0" borderId="0" xfId="3" applyFont="1" applyAlignment="1">
      <alignment horizontal="center"/>
    </xf>
    <xf numFmtId="0" fontId="19" fillId="0" borderId="26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66" fontId="2" fillId="0" borderId="0" xfId="3" applyFont="1"/>
    <xf numFmtId="166" fontId="19" fillId="0" borderId="26" xfId="3" applyFont="1" applyBorder="1" applyAlignment="1">
      <alignment horizontal="center" vertical="center" wrapText="1"/>
    </xf>
    <xf numFmtId="166" fontId="2" fillId="0" borderId="26" xfId="3" applyFont="1" applyBorder="1"/>
    <xf numFmtId="166" fontId="2" fillId="0" borderId="0" xfId="3" applyFont="1" applyBorder="1"/>
    <xf numFmtId="166" fontId="1" fillId="0" borderId="26" xfId="3" applyFont="1" applyBorder="1"/>
    <xf numFmtId="166" fontId="11" fillId="0" borderId="26" xfId="3" applyFont="1" applyBorder="1"/>
    <xf numFmtId="166" fontId="17" fillId="0" borderId="0" xfId="3" applyFont="1" applyAlignment="1">
      <alignment horizontal="center"/>
    </xf>
    <xf numFmtId="166" fontId="17" fillId="0" borderId="26" xfId="3" applyFont="1" applyBorder="1"/>
    <xf numFmtId="166" fontId="17" fillId="0" borderId="0" xfId="3" applyFont="1"/>
    <xf numFmtId="166" fontId="20" fillId="0" borderId="0" xfId="3" applyFont="1"/>
    <xf numFmtId="166" fontId="18" fillId="0" borderId="0" xfId="3" applyFont="1" applyAlignment="1">
      <alignment horizontal="center"/>
    </xf>
    <xf numFmtId="166" fontId="21" fillId="0" borderId="26" xfId="3" applyFont="1" applyBorder="1" applyAlignment="1">
      <alignment horizontal="center" vertical="center" wrapText="1"/>
    </xf>
    <xf numFmtId="166" fontId="18" fillId="0" borderId="26" xfId="3" applyFont="1" applyBorder="1"/>
    <xf numFmtId="166" fontId="20" fillId="0" borderId="26" xfId="3" applyFont="1" applyBorder="1"/>
    <xf numFmtId="166" fontId="20" fillId="0" borderId="0" xfId="3" applyFont="1" applyBorder="1"/>
    <xf numFmtId="166" fontId="18" fillId="0" borderId="0" xfId="3" applyFont="1"/>
    <xf numFmtId="9" fontId="17" fillId="0" borderId="0" xfId="4" applyFont="1" applyAlignment="1">
      <alignment horizontal="center"/>
    </xf>
    <xf numFmtId="9" fontId="19" fillId="0" borderId="26" xfId="4" applyFont="1" applyBorder="1" applyAlignment="1">
      <alignment horizontal="center" vertical="center" wrapText="1"/>
    </xf>
    <xf numFmtId="9" fontId="17" fillId="0" borderId="26" xfId="4" applyFont="1" applyBorder="1"/>
    <xf numFmtId="9" fontId="17" fillId="0" borderId="0" xfId="4" applyFont="1"/>
    <xf numFmtId="9" fontId="19" fillId="0" borderId="0" xfId="4" applyFont="1"/>
    <xf numFmtId="9" fontId="19" fillId="0" borderId="26" xfId="4" applyFont="1" applyBorder="1"/>
    <xf numFmtId="9" fontId="19" fillId="0" borderId="0" xfId="4" applyFont="1" applyBorder="1"/>
    <xf numFmtId="0" fontId="0" fillId="0" borderId="26" xfId="0" applyBorder="1"/>
    <xf numFmtId="166" fontId="0" fillId="0" borderId="26" xfId="3" applyFont="1" applyBorder="1"/>
    <xf numFmtId="164" fontId="0" fillId="0" borderId="26" xfId="0" applyNumberFormat="1" applyBorder="1"/>
    <xf numFmtId="0" fontId="2" fillId="0" borderId="26" xfId="0" applyFont="1" applyBorder="1"/>
    <xf numFmtId="164" fontId="2" fillId="0" borderId="26" xfId="0" applyNumberFormat="1" applyFont="1" applyBorder="1"/>
    <xf numFmtId="0" fontId="2" fillId="0" borderId="0" xfId="0" applyFont="1" applyAlignment="1">
      <alignment horizontal="center"/>
    </xf>
    <xf numFmtId="166" fontId="0" fillId="0" borderId="0" xfId="3" applyFont="1" applyBorder="1"/>
    <xf numFmtId="0" fontId="0" fillId="0" borderId="26" xfId="0" applyBorder="1" applyAlignment="1">
      <alignment horizontal="right" vertical="center"/>
    </xf>
    <xf numFmtId="0" fontId="11" fillId="0" borderId="26" xfId="0" applyFont="1" applyBorder="1"/>
    <xf numFmtId="0" fontId="15" fillId="0" borderId="26" xfId="0" applyFont="1" applyBorder="1"/>
    <xf numFmtId="164" fontId="11" fillId="0" borderId="26" xfId="0" applyNumberFormat="1" applyFont="1" applyBorder="1"/>
    <xf numFmtId="0" fontId="11" fillId="0" borderId="0" xfId="0" applyFont="1"/>
    <xf numFmtId="166" fontId="0" fillId="0" borderId="0" xfId="3" applyFont="1"/>
    <xf numFmtId="0" fontId="0" fillId="0" borderId="26" xfId="0" applyBorder="1" applyAlignment="1">
      <alignment wrapText="1"/>
    </xf>
    <xf numFmtId="9" fontId="0" fillId="0" borderId="26" xfId="4" applyFont="1" applyBorder="1"/>
    <xf numFmtId="0" fontId="2" fillId="0" borderId="26" xfId="0" applyFont="1" applyBorder="1" applyAlignment="1">
      <alignment wrapText="1"/>
    </xf>
    <xf numFmtId="0" fontId="12" fillId="0" borderId="0" xfId="0" applyFont="1"/>
    <xf numFmtId="43" fontId="3" fillId="0" borderId="0" xfId="1" applyFont="1"/>
    <xf numFmtId="43" fontId="4" fillId="4" borderId="5" xfId="1" applyFont="1" applyFill="1" applyBorder="1"/>
    <xf numFmtId="43" fontId="4" fillId="4" borderId="23" xfId="1" applyFont="1" applyFill="1" applyBorder="1"/>
    <xf numFmtId="43" fontId="3" fillId="0" borderId="2" xfId="1" applyFont="1" applyBorder="1"/>
    <xf numFmtId="43" fontId="4" fillId="0" borderId="14" xfId="1" applyFont="1" applyFill="1" applyBorder="1"/>
    <xf numFmtId="0" fontId="22" fillId="5" borderId="20" xfId="0" applyFont="1" applyFill="1" applyBorder="1"/>
    <xf numFmtId="43" fontId="22" fillId="5" borderId="21" xfId="1" applyFont="1" applyFill="1" applyBorder="1"/>
    <xf numFmtId="0" fontId="3" fillId="5" borderId="22" xfId="0" applyFont="1" applyFill="1" applyBorder="1"/>
    <xf numFmtId="43" fontId="3" fillId="5" borderId="21" xfId="1" applyFont="1" applyFill="1" applyBorder="1"/>
    <xf numFmtId="43" fontId="4" fillId="0" borderId="11" xfId="1" applyFont="1" applyFill="1" applyBorder="1"/>
    <xf numFmtId="0" fontId="3" fillId="4" borderId="32" xfId="0" applyFont="1" applyFill="1" applyBorder="1"/>
    <xf numFmtId="43" fontId="4" fillId="0" borderId="26" xfId="1" applyFont="1" applyBorder="1"/>
    <xf numFmtId="0" fontId="3" fillId="4" borderId="33" xfId="0" applyFont="1" applyFill="1" applyBorder="1"/>
    <xf numFmtId="0" fontId="3" fillId="4" borderId="33" xfId="0" applyFont="1" applyFill="1" applyBorder="1" applyAlignment="1">
      <alignment horizontal="right"/>
    </xf>
    <xf numFmtId="0" fontId="4" fillId="0" borderId="15" xfId="0" applyFont="1" applyBorder="1" applyAlignment="1">
      <alignment wrapText="1"/>
    </xf>
    <xf numFmtId="0" fontId="4" fillId="0" borderId="23" xfId="0" applyFont="1" applyBorder="1"/>
    <xf numFmtId="0" fontId="3" fillId="6" borderId="24" xfId="0" applyFont="1" applyFill="1" applyBorder="1"/>
    <xf numFmtId="0" fontId="3" fillId="4" borderId="26" xfId="0" applyFont="1" applyFill="1" applyBorder="1"/>
    <xf numFmtId="0" fontId="4" fillId="0" borderId="35" xfId="0" applyFont="1" applyBorder="1"/>
    <xf numFmtId="0" fontId="4" fillId="0" borderId="36" xfId="0" applyFont="1" applyBorder="1"/>
    <xf numFmtId="0" fontId="9" fillId="2" borderId="19" xfId="0" applyFont="1" applyFill="1" applyBorder="1" applyAlignment="1">
      <alignment horizontal="center"/>
    </xf>
    <xf numFmtId="0" fontId="4" fillId="0" borderId="37" xfId="0" applyFont="1" applyBorder="1"/>
    <xf numFmtId="0" fontId="4" fillId="0" borderId="11" xfId="0" applyFont="1" applyBorder="1"/>
    <xf numFmtId="0" fontId="3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wrapText="1"/>
    </xf>
    <xf numFmtId="43" fontId="3" fillId="8" borderId="26" xfId="1" applyFont="1" applyFill="1" applyBorder="1"/>
    <xf numFmtId="43" fontId="3" fillId="8" borderId="0" xfId="1" applyFont="1" applyFill="1"/>
    <xf numFmtId="0" fontId="4" fillId="8" borderId="35" xfId="0" applyFont="1" applyFill="1" applyBorder="1"/>
    <xf numFmtId="0" fontId="4" fillId="8" borderId="38" xfId="0" applyFont="1" applyFill="1" applyBorder="1"/>
    <xf numFmtId="4" fontId="4" fillId="8" borderId="35" xfId="0" applyNumberFormat="1" applyFont="1" applyFill="1" applyBorder="1"/>
    <xf numFmtId="4" fontId="4" fillId="8" borderId="38" xfId="0" applyNumberFormat="1" applyFont="1" applyFill="1" applyBorder="1"/>
    <xf numFmtId="4" fontId="3" fillId="8" borderId="35" xfId="0" applyNumberFormat="1" applyFont="1" applyFill="1" applyBorder="1"/>
    <xf numFmtId="4" fontId="3" fillId="8" borderId="38" xfId="0" applyNumberFormat="1" applyFont="1" applyFill="1" applyBorder="1"/>
    <xf numFmtId="4" fontId="4" fillId="8" borderId="39" xfId="0" applyNumberFormat="1" applyFont="1" applyFill="1" applyBorder="1"/>
    <xf numFmtId="4" fontId="4" fillId="8" borderId="40" xfId="0" applyNumberFormat="1" applyFont="1" applyFill="1" applyBorder="1"/>
    <xf numFmtId="4" fontId="3" fillId="5" borderId="41" xfId="0" applyNumberFormat="1" applyFont="1" applyFill="1" applyBorder="1"/>
    <xf numFmtId="4" fontId="3" fillId="5" borderId="42" xfId="0" applyNumberFormat="1" applyFont="1" applyFill="1" applyBorder="1"/>
    <xf numFmtId="4" fontId="4" fillId="8" borderId="43" xfId="0" applyNumberFormat="1" applyFont="1" applyFill="1" applyBorder="1"/>
    <xf numFmtId="4" fontId="4" fillId="8" borderId="44" xfId="0" applyNumberFormat="1" applyFont="1" applyFill="1" applyBorder="1"/>
    <xf numFmtId="4" fontId="3" fillId="8" borderId="39" xfId="0" applyNumberFormat="1" applyFont="1" applyFill="1" applyBorder="1"/>
    <xf numFmtId="4" fontId="3" fillId="8" borderId="40" xfId="0" applyNumberFormat="1" applyFont="1" applyFill="1" applyBorder="1"/>
    <xf numFmtId="43" fontId="3" fillId="5" borderId="20" xfId="1" applyFont="1" applyFill="1" applyBorder="1"/>
    <xf numFmtId="43" fontId="3" fillId="6" borderId="45" xfId="1" applyFont="1" applyFill="1" applyBorder="1"/>
    <xf numFmtId="43" fontId="3" fillId="0" borderId="22" xfId="1" applyFont="1" applyBorder="1"/>
    <xf numFmtId="4" fontId="4" fillId="8" borderId="28" xfId="0" applyNumberFormat="1" applyFont="1" applyFill="1" applyBorder="1"/>
    <xf numFmtId="0" fontId="3" fillId="8" borderId="36" xfId="0" applyFont="1" applyFill="1" applyBorder="1" applyAlignment="1">
      <alignment horizontal="center"/>
    </xf>
    <xf numFmtId="4" fontId="4" fillId="8" borderId="32" xfId="0" applyNumberFormat="1" applyFont="1" applyFill="1" applyBorder="1"/>
    <xf numFmtId="4" fontId="3" fillId="8" borderId="32" xfId="0" applyNumberFormat="1" applyFont="1" applyFill="1" applyBorder="1"/>
    <xf numFmtId="4" fontId="3" fillId="8" borderId="33" xfId="0" applyNumberFormat="1" applyFont="1" applyFill="1" applyBorder="1"/>
    <xf numFmtId="4" fontId="4" fillId="8" borderId="33" xfId="0" applyNumberFormat="1" applyFont="1" applyFill="1" applyBorder="1"/>
    <xf numFmtId="4" fontId="3" fillId="5" borderId="24" xfId="0" applyNumberFormat="1" applyFont="1" applyFill="1" applyBorder="1"/>
    <xf numFmtId="4" fontId="4" fillId="8" borderId="25" xfId="0" applyNumberFormat="1" applyFont="1" applyFill="1" applyBorder="1"/>
    <xf numFmtId="0" fontId="19" fillId="0" borderId="26" xfId="4" applyNumberFormat="1" applyFont="1" applyBorder="1" applyAlignment="1">
      <alignment horizontal="center" vertical="center" wrapText="1"/>
    </xf>
    <xf numFmtId="44" fontId="16" fillId="0" borderId="26" xfId="4" applyNumberFormat="1" applyFont="1" applyBorder="1" applyAlignment="1">
      <alignment horizontal="center"/>
    </xf>
    <xf numFmtId="44" fontId="2" fillId="0" borderId="26" xfId="4" applyNumberFormat="1" applyFont="1" applyBorder="1"/>
    <xf numFmtId="164" fontId="20" fillId="0" borderId="26" xfId="3" applyNumberFormat="1" applyFont="1" applyBorder="1"/>
    <xf numFmtId="44" fontId="19" fillId="0" borderId="26" xfId="4" applyNumberFormat="1" applyFont="1" applyBorder="1" applyAlignment="1">
      <alignment horizontal="center"/>
    </xf>
    <xf numFmtId="10" fontId="17" fillId="0" borderId="0" xfId="4" applyNumberFormat="1" applyFont="1"/>
    <xf numFmtId="166" fontId="0" fillId="0" borderId="28" xfId="3" applyFont="1" applyBorder="1" applyAlignment="1"/>
    <xf numFmtId="166" fontId="0" fillId="0" borderId="15" xfId="3" applyFont="1" applyBorder="1" applyAlignment="1"/>
    <xf numFmtId="166" fontId="19" fillId="0" borderId="28" xfId="3" applyFont="1" applyBorder="1" applyAlignment="1">
      <alignment vertical="center" wrapText="1"/>
    </xf>
    <xf numFmtId="166" fontId="21" fillId="0" borderId="29" xfId="3" applyFont="1" applyBorder="1" applyAlignment="1">
      <alignment horizontal="center" vertical="center" wrapText="1"/>
    </xf>
    <xf numFmtId="44" fontId="16" fillId="9" borderId="26" xfId="4" applyNumberFormat="1" applyFont="1" applyFill="1" applyBorder="1" applyAlignment="1">
      <alignment horizontal="center"/>
    </xf>
    <xf numFmtId="0" fontId="4" fillId="8" borderId="34" xfId="0" applyFont="1" applyFill="1" applyBorder="1"/>
    <xf numFmtId="43" fontId="9" fillId="2" borderId="21" xfId="1" applyFont="1" applyFill="1" applyBorder="1"/>
    <xf numFmtId="43" fontId="9" fillId="2" borderId="24" xfId="1" applyFont="1" applyFill="1" applyBorder="1"/>
    <xf numFmtId="43" fontId="22" fillId="8" borderId="43" xfId="1" applyFont="1" applyFill="1" applyBorder="1"/>
    <xf numFmtId="0" fontId="4" fillId="8" borderId="21" xfId="0" applyFont="1" applyFill="1" applyBorder="1"/>
    <xf numFmtId="43" fontId="22" fillId="8" borderId="44" xfId="1" applyFont="1" applyFill="1" applyBorder="1"/>
    <xf numFmtId="4" fontId="3" fillId="6" borderId="41" xfId="0" applyNumberFormat="1" applyFont="1" applyFill="1" applyBorder="1"/>
    <xf numFmtId="4" fontId="3" fillId="6" borderId="42" xfId="0" applyNumberFormat="1" applyFont="1" applyFill="1" applyBorder="1"/>
    <xf numFmtId="4" fontId="3" fillId="6" borderId="24" xfId="0" applyNumberFormat="1" applyFont="1" applyFill="1" applyBorder="1"/>
    <xf numFmtId="43" fontId="22" fillId="8" borderId="21" xfId="1" applyFont="1" applyFill="1" applyBorder="1"/>
    <xf numFmtId="0" fontId="0" fillId="0" borderId="27" xfId="0" applyBorder="1"/>
    <xf numFmtId="0" fontId="4" fillId="4" borderId="12" xfId="0" applyFont="1" applyFill="1" applyBorder="1" applyAlignment="1">
      <alignment wrapText="1"/>
    </xf>
    <xf numFmtId="0" fontId="3" fillId="4" borderId="4" xfId="0" applyFont="1" applyFill="1" applyBorder="1"/>
    <xf numFmtId="0" fontId="4" fillId="4" borderId="5" xfId="0" applyFont="1" applyFill="1" applyBorder="1" applyAlignment="1">
      <alignment wrapText="1"/>
    </xf>
    <xf numFmtId="165" fontId="4" fillId="4" borderId="5" xfId="1" applyNumberFormat="1" applyFont="1" applyFill="1" applyBorder="1"/>
    <xf numFmtId="4" fontId="4" fillId="8" borderId="49" xfId="0" applyNumberFormat="1" applyFont="1" applyFill="1" applyBorder="1"/>
    <xf numFmtId="4" fontId="4" fillId="8" borderId="50" xfId="0" applyNumberFormat="1" applyFont="1" applyFill="1" applyBorder="1"/>
    <xf numFmtId="4" fontId="4" fillId="8" borderId="19" xfId="0" applyNumberFormat="1" applyFont="1" applyFill="1" applyBorder="1"/>
    <xf numFmtId="43" fontId="4" fillId="4" borderId="26" xfId="1" applyFont="1" applyFill="1" applyBorder="1"/>
    <xf numFmtId="43" fontId="4" fillId="4" borderId="27" xfId="1" applyFont="1" applyFill="1" applyBorder="1"/>
    <xf numFmtId="0" fontId="3" fillId="4" borderId="19" xfId="0" applyFont="1" applyFill="1" applyBorder="1"/>
    <xf numFmtId="43" fontId="4" fillId="8" borderId="34" xfId="1" applyFont="1" applyFill="1" applyBorder="1"/>
    <xf numFmtId="0" fontId="4" fillId="8" borderId="39" xfId="0" applyFont="1" applyFill="1" applyBorder="1"/>
    <xf numFmtId="0" fontId="4" fillId="8" borderId="40" xfId="0" applyFont="1" applyFill="1" applyBorder="1"/>
    <xf numFmtId="4" fontId="3" fillId="2" borderId="20" xfId="0" applyNumberFormat="1" applyFont="1" applyFill="1" applyBorder="1"/>
    <xf numFmtId="4" fontId="3" fillId="2" borderId="24" xfId="0" applyNumberFormat="1" applyFont="1" applyFill="1" applyBorder="1"/>
    <xf numFmtId="0" fontId="3" fillId="7" borderId="21" xfId="0" applyFont="1" applyFill="1" applyBorder="1"/>
    <xf numFmtId="0" fontId="3" fillId="5" borderId="21" xfId="0" applyFont="1" applyFill="1" applyBorder="1" applyAlignment="1">
      <alignment horizontal="right"/>
    </xf>
    <xf numFmtId="43" fontId="4" fillId="5" borderId="42" xfId="1" applyFont="1" applyFill="1" applyBorder="1"/>
    <xf numFmtId="43" fontId="3" fillId="0" borderId="5" xfId="1" applyFont="1" applyBorder="1"/>
    <xf numFmtId="43" fontId="10" fillId="0" borderId="14" xfId="1" applyFont="1" applyBorder="1"/>
    <xf numFmtId="43" fontId="4" fillId="0" borderId="14" xfId="1" applyFont="1" applyBorder="1"/>
    <xf numFmtId="0" fontId="4" fillId="4" borderId="4" xfId="0" applyFont="1" applyFill="1" applyBorder="1"/>
    <xf numFmtId="0" fontId="13" fillId="4" borderId="13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4" fillId="4" borderId="13" xfId="0" applyFont="1" applyFill="1" applyBorder="1" applyAlignment="1">
      <alignment wrapText="1"/>
    </xf>
    <xf numFmtId="0" fontId="4" fillId="4" borderId="46" xfId="0" applyFont="1" applyFill="1" applyBorder="1"/>
    <xf numFmtId="0" fontId="14" fillId="4" borderId="16" xfId="0" applyFont="1" applyFill="1" applyBorder="1"/>
    <xf numFmtId="0" fontId="3" fillId="4" borderId="16" xfId="0" applyFont="1" applyFill="1" applyBorder="1"/>
    <xf numFmtId="43" fontId="4" fillId="4" borderId="8" xfId="1" applyFont="1" applyFill="1" applyBorder="1"/>
    <xf numFmtId="0" fontId="4" fillId="4" borderId="13" xfId="0" applyFont="1" applyFill="1" applyBorder="1" applyAlignment="1">
      <alignment wrapText="1"/>
    </xf>
    <xf numFmtId="43" fontId="14" fillId="4" borderId="14" xfId="1" applyFont="1" applyFill="1" applyBorder="1"/>
    <xf numFmtId="43" fontId="14" fillId="0" borderId="23" xfId="1" applyFont="1" applyBorder="1"/>
    <xf numFmtId="43" fontId="4" fillId="0" borderId="0" xfId="1" applyFont="1" applyBorder="1"/>
    <xf numFmtId="0" fontId="23" fillId="4" borderId="26" xfId="0" applyFont="1" applyFill="1" applyBorder="1"/>
    <xf numFmtId="0" fontId="25" fillId="4" borderId="26" xfId="0" applyFont="1" applyFill="1" applyBorder="1"/>
    <xf numFmtId="43" fontId="23" fillId="4" borderId="26" xfId="1" applyFont="1" applyFill="1" applyBorder="1"/>
    <xf numFmtId="0" fontId="3" fillId="4" borderId="28" xfId="0" applyFont="1" applyFill="1" applyBorder="1"/>
    <xf numFmtId="0" fontId="3" fillId="7" borderId="22" xfId="0" applyFont="1" applyFill="1" applyBorder="1"/>
    <xf numFmtId="43" fontId="22" fillId="0" borderId="5" xfId="1" applyFont="1" applyFill="1" applyBorder="1"/>
    <xf numFmtId="4" fontId="4" fillId="0" borderId="14" xfId="0" applyNumberFormat="1" applyFont="1" applyBorder="1"/>
    <xf numFmtId="4" fontId="3" fillId="0" borderId="14" xfId="0" applyNumberFormat="1" applyFont="1" applyBorder="1"/>
    <xf numFmtId="4" fontId="3" fillId="0" borderId="17" xfId="0" applyNumberFormat="1" applyFont="1" applyBorder="1"/>
    <xf numFmtId="4" fontId="4" fillId="0" borderId="17" xfId="0" applyNumberFormat="1" applyFont="1" applyBorder="1"/>
    <xf numFmtId="4" fontId="3" fillId="5" borderId="21" xfId="0" applyNumberFormat="1" applyFont="1" applyFill="1" applyBorder="1"/>
    <xf numFmtId="4" fontId="4" fillId="0" borderId="11" xfId="0" applyNumberFormat="1" applyFont="1" applyBorder="1"/>
    <xf numFmtId="4" fontId="3" fillId="6" borderId="21" xfId="0" applyNumberFormat="1" applyFont="1" applyFill="1" applyBorder="1"/>
    <xf numFmtId="4" fontId="4" fillId="4" borderId="5" xfId="0" applyNumberFormat="1" applyFont="1" applyFill="1" applyBorder="1"/>
    <xf numFmtId="4" fontId="4" fillId="4" borderId="14" xfId="0" applyNumberFormat="1" applyFont="1" applyFill="1" applyBorder="1"/>
    <xf numFmtId="4" fontId="3" fillId="4" borderId="14" xfId="0" applyNumberFormat="1" applyFont="1" applyFill="1" applyBorder="1"/>
    <xf numFmtId="4" fontId="4" fillId="4" borderId="11" xfId="0" applyNumberFormat="1" applyFont="1" applyFill="1" applyBorder="1"/>
    <xf numFmtId="4" fontId="3" fillId="2" borderId="21" xfId="0" applyNumberFormat="1" applyFont="1" applyFill="1" applyBorder="1"/>
    <xf numFmtId="43" fontId="4" fillId="0" borderId="4" xfId="1" applyFont="1" applyFill="1" applyBorder="1"/>
    <xf numFmtId="43" fontId="4" fillId="4" borderId="10" xfId="1" applyFont="1" applyFill="1" applyBorder="1"/>
    <xf numFmtId="43" fontId="3" fillId="0" borderId="11" xfId="1" applyFont="1" applyBorder="1"/>
    <xf numFmtId="0" fontId="22" fillId="5" borderId="21" xfId="0" applyFont="1" applyFill="1" applyBorder="1"/>
    <xf numFmtId="0" fontId="3" fillId="0" borderId="11" xfId="0" applyFont="1" applyBorder="1"/>
    <xf numFmtId="0" fontId="3" fillId="4" borderId="14" xfId="0" applyFont="1" applyFill="1" applyBorder="1"/>
    <xf numFmtId="0" fontId="3" fillId="2" borderId="21" xfId="0" applyFont="1" applyFill="1" applyBorder="1"/>
    <xf numFmtId="43" fontId="3" fillId="0" borderId="6" xfId="1" applyFont="1" applyBorder="1"/>
    <xf numFmtId="43" fontId="9" fillId="2" borderId="6" xfId="1" applyFont="1" applyFill="1" applyBorder="1"/>
    <xf numFmtId="43" fontId="3" fillId="8" borderId="15" xfId="1" applyFont="1" applyFill="1" applyBorder="1"/>
    <xf numFmtId="43" fontId="3" fillId="8" borderId="18" xfId="1" applyFont="1" applyFill="1" applyBorder="1"/>
    <xf numFmtId="43" fontId="3" fillId="8" borderId="9" xfId="1" applyFont="1" applyFill="1" applyBorder="1"/>
    <xf numFmtId="43" fontId="3" fillId="5" borderId="22" xfId="1" applyFont="1" applyFill="1" applyBorder="1"/>
    <xf numFmtId="43" fontId="3" fillId="5" borderId="12" xfId="1" applyFont="1" applyFill="1" applyBorder="1"/>
    <xf numFmtId="43" fontId="3" fillId="8" borderId="29" xfId="1" applyFont="1" applyFill="1" applyBorder="1"/>
    <xf numFmtId="43" fontId="3" fillId="8" borderId="12" xfId="1" applyFont="1" applyFill="1" applyBorder="1"/>
    <xf numFmtId="43" fontId="3" fillId="6" borderId="12" xfId="1" applyFont="1" applyFill="1" applyBorder="1"/>
    <xf numFmtId="43" fontId="22" fillId="5" borderId="11" xfId="1" applyFont="1" applyFill="1" applyBorder="1"/>
    <xf numFmtId="43" fontId="23" fillId="0" borderId="14" xfId="1" applyFont="1" applyFill="1" applyBorder="1"/>
    <xf numFmtId="43" fontId="4" fillId="0" borderId="23" xfId="1" applyFont="1" applyFill="1" applyBorder="1"/>
    <xf numFmtId="43" fontId="23" fillId="0" borderId="23" xfId="1" applyFont="1" applyFill="1" applyBorder="1"/>
    <xf numFmtId="43" fontId="23" fillId="4" borderId="17" xfId="1" applyFont="1" applyFill="1" applyBorder="1"/>
    <xf numFmtId="43" fontId="23" fillId="4" borderId="14" xfId="1" applyFont="1" applyFill="1" applyBorder="1"/>
    <xf numFmtId="167" fontId="4" fillId="0" borderId="14" xfId="0" applyNumberFormat="1" applyFont="1" applyBorder="1"/>
    <xf numFmtId="43" fontId="4" fillId="0" borderId="23" xfId="1" applyFont="1" applyBorder="1"/>
    <xf numFmtId="0" fontId="9" fillId="2" borderId="4" xfId="0" applyFont="1" applyFill="1" applyBorder="1"/>
    <xf numFmtId="0" fontId="4" fillId="0" borderId="10" xfId="0" applyFont="1" applyBorder="1" applyAlignment="1">
      <alignment wrapText="1"/>
    </xf>
    <xf numFmtId="0" fontId="3" fillId="0" borderId="13" xfId="0" applyFont="1" applyBorder="1"/>
    <xf numFmtId="0" fontId="4" fillId="4" borderId="5" xfId="0" applyFont="1" applyFill="1" applyBorder="1"/>
    <xf numFmtId="0" fontId="3" fillId="7" borderId="1" xfId="0" applyFont="1" applyFill="1" applyBorder="1" applyAlignment="1">
      <alignment horizontal="center"/>
    </xf>
    <xf numFmtId="0" fontId="3" fillId="0" borderId="5" xfId="0" applyFont="1" applyBorder="1"/>
    <xf numFmtId="0" fontId="4" fillId="2" borderId="8" xfId="0" applyFont="1" applyFill="1" applyBorder="1"/>
    <xf numFmtId="0" fontId="11" fillId="7" borderId="22" xfId="0" applyFont="1" applyFill="1" applyBorder="1"/>
    <xf numFmtId="0" fontId="3" fillId="7" borderId="21" xfId="0" applyFont="1" applyFill="1" applyBorder="1" applyAlignment="1">
      <alignment horizontal="center"/>
    </xf>
    <xf numFmtId="0" fontId="4" fillId="2" borderId="21" xfId="0" applyFont="1" applyFill="1" applyBorder="1"/>
    <xf numFmtId="4" fontId="3" fillId="8" borderId="21" xfId="0" applyNumberFormat="1" applyFont="1" applyFill="1" applyBorder="1"/>
    <xf numFmtId="4" fontId="4" fillId="8" borderId="12" xfId="0" applyNumberFormat="1" applyFont="1" applyFill="1" applyBorder="1"/>
    <xf numFmtId="4" fontId="4" fillId="8" borderId="15" xfId="0" applyNumberFormat="1" applyFont="1" applyFill="1" applyBorder="1"/>
    <xf numFmtId="0" fontId="4" fillId="8" borderId="15" xfId="0" applyFont="1" applyFill="1" applyBorder="1"/>
    <xf numFmtId="4" fontId="4" fillId="8" borderId="18" xfId="0" applyNumberFormat="1" applyFont="1" applyFill="1" applyBorder="1"/>
    <xf numFmtId="4" fontId="4" fillId="8" borderId="0" xfId="0" applyNumberFormat="1" applyFont="1" applyFill="1"/>
    <xf numFmtId="0" fontId="22" fillId="5" borderId="6" xfId="0" applyFont="1" applyFill="1" applyBorder="1"/>
    <xf numFmtId="0" fontId="23" fillId="4" borderId="15" xfId="0" applyFont="1" applyFill="1" applyBorder="1"/>
    <xf numFmtId="0" fontId="24" fillId="4" borderId="15" xfId="0" applyFont="1" applyFill="1" applyBorder="1"/>
    <xf numFmtId="0" fontId="4" fillId="4" borderId="0" xfId="0" applyFont="1" applyFill="1"/>
    <xf numFmtId="0" fontId="25" fillId="4" borderId="18" xfId="0" applyFont="1" applyFill="1" applyBorder="1"/>
    <xf numFmtId="0" fontId="25" fillId="4" borderId="15" xfId="0" applyFont="1" applyFill="1" applyBorder="1"/>
    <xf numFmtId="0" fontId="25" fillId="4" borderId="15" xfId="0" applyFont="1" applyFill="1" applyBorder="1" applyAlignment="1">
      <alignment wrapText="1"/>
    </xf>
    <xf numFmtId="0" fontId="3" fillId="5" borderId="36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right"/>
    </xf>
    <xf numFmtId="0" fontId="22" fillId="5" borderId="5" xfId="0" applyFont="1" applyFill="1" applyBorder="1"/>
    <xf numFmtId="0" fontId="23" fillId="4" borderId="14" xfId="0" applyFont="1" applyFill="1" applyBorder="1"/>
    <xf numFmtId="0" fontId="23" fillId="4" borderId="8" xfId="0" applyFont="1" applyFill="1" applyBorder="1"/>
    <xf numFmtId="0" fontId="26" fillId="0" borderId="0" xfId="0" applyFont="1" applyAlignment="1">
      <alignment horizontal="center"/>
    </xf>
    <xf numFmtId="14" fontId="3" fillId="0" borderId="0" xfId="1" applyNumberFormat="1" applyFont="1"/>
    <xf numFmtId="0" fontId="27" fillId="0" borderId="0" xfId="0" applyFont="1"/>
    <xf numFmtId="14" fontId="0" fillId="0" borderId="0" xfId="0" applyNumberFormat="1"/>
    <xf numFmtId="166" fontId="2" fillId="0" borderId="0" xfId="3" applyFont="1" applyAlignment="1"/>
    <xf numFmtId="0" fontId="28" fillId="0" borderId="0" xfId="0" applyFont="1"/>
    <xf numFmtId="43" fontId="12" fillId="4" borderId="0" xfId="1" applyFont="1" applyFill="1"/>
    <xf numFmtId="43" fontId="11" fillId="4" borderId="0" xfId="1" applyFont="1" applyFill="1"/>
    <xf numFmtId="4" fontId="23" fillId="0" borderId="14" xfId="0" applyNumberFormat="1" applyFont="1" applyFill="1" applyBorder="1"/>
    <xf numFmtId="0" fontId="23" fillId="0" borderId="14" xfId="0" applyFont="1" applyFill="1" applyBorder="1"/>
    <xf numFmtId="4" fontId="23" fillId="0" borderId="15" xfId="0" applyNumberFormat="1" applyFont="1" applyFill="1" applyBorder="1"/>
    <xf numFmtId="0" fontId="23" fillId="0" borderId="15" xfId="0" applyFont="1" applyFill="1" applyBorder="1"/>
    <xf numFmtId="43" fontId="23" fillId="0" borderId="15" xfId="1" applyFont="1" applyFill="1" applyBorder="1"/>
    <xf numFmtId="0" fontId="29" fillId="0" borderId="0" xfId="0" applyFont="1" applyFill="1"/>
    <xf numFmtId="4" fontId="29" fillId="0" borderId="0" xfId="0" applyNumberFormat="1" applyFont="1" applyFill="1"/>
    <xf numFmtId="43" fontId="22" fillId="0" borderId="49" xfId="1" applyFont="1" applyFill="1" applyBorder="1"/>
    <xf numFmtId="0" fontId="23" fillId="0" borderId="23" xfId="0" applyFont="1" applyFill="1" applyBorder="1"/>
    <xf numFmtId="0" fontId="25" fillId="0" borderId="14" xfId="0" applyFont="1" applyFill="1" applyBorder="1"/>
    <xf numFmtId="0" fontId="25" fillId="0" borderId="17" xfId="0" applyFont="1" applyFill="1" applyBorder="1"/>
    <xf numFmtId="43" fontId="23" fillId="0" borderId="17" xfId="1" applyFont="1" applyFill="1" applyBorder="1"/>
    <xf numFmtId="0" fontId="22" fillId="0" borderId="21" xfId="0" applyFont="1" applyFill="1" applyBorder="1"/>
    <xf numFmtId="0" fontId="22" fillId="0" borderId="22" xfId="0" applyFont="1" applyFill="1" applyBorder="1"/>
    <xf numFmtId="4" fontId="22" fillId="0" borderId="21" xfId="0" applyNumberFormat="1" applyFont="1" applyFill="1" applyBorder="1" applyAlignment="1"/>
    <xf numFmtId="0" fontId="22" fillId="0" borderId="11" xfId="0" applyFont="1" applyFill="1" applyBorder="1"/>
    <xf numFmtId="0" fontId="22" fillId="0" borderId="12" xfId="0" applyFont="1" applyFill="1" applyBorder="1"/>
    <xf numFmtId="43" fontId="22" fillId="0" borderId="11" xfId="1" applyFont="1" applyFill="1" applyBorder="1"/>
    <xf numFmtId="4" fontId="23" fillId="0" borderId="11" xfId="0" applyNumberFormat="1" applyFont="1" applyFill="1" applyBorder="1"/>
    <xf numFmtId="4" fontId="23" fillId="0" borderId="17" xfId="0" applyNumberFormat="1" applyFont="1" applyFill="1" applyBorder="1"/>
    <xf numFmtId="0" fontId="23" fillId="0" borderId="17" xfId="0" applyFont="1" applyFill="1" applyBorder="1"/>
    <xf numFmtId="4" fontId="23" fillId="0" borderId="8" xfId="0" applyNumberFormat="1" applyFont="1" applyFill="1" applyBorder="1"/>
    <xf numFmtId="0" fontId="23" fillId="0" borderId="8" xfId="0" applyFont="1" applyFill="1" applyBorder="1"/>
    <xf numFmtId="0" fontId="23" fillId="0" borderId="0" xfId="0" applyFont="1" applyFill="1"/>
    <xf numFmtId="0" fontId="25" fillId="0" borderId="0" xfId="0" applyFont="1" applyFill="1"/>
    <xf numFmtId="0" fontId="34" fillId="0" borderId="0" xfId="0" applyFont="1" applyFill="1"/>
    <xf numFmtId="43" fontId="34" fillId="0" borderId="0" xfId="1" applyFont="1" applyFill="1"/>
    <xf numFmtId="43" fontId="32" fillId="0" borderId="0" xfId="0" applyNumberFormat="1" applyFont="1" applyFill="1"/>
    <xf numFmtId="0" fontId="32" fillId="0" borderId="0" xfId="0" applyFont="1" applyFill="1"/>
    <xf numFmtId="0" fontId="22" fillId="0" borderId="0" xfId="0" applyFont="1" applyFill="1"/>
    <xf numFmtId="43" fontId="23" fillId="0" borderId="0" xfId="1" applyFont="1" applyFill="1"/>
    <xf numFmtId="0" fontId="30" fillId="0" borderId="0" xfId="0" applyFont="1" applyFill="1"/>
    <xf numFmtId="14" fontId="22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 applyAlignment="1">
      <alignment horizontal="center" wrapText="1"/>
    </xf>
    <xf numFmtId="0" fontId="22" fillId="0" borderId="5" xfId="0" applyFont="1" applyFill="1" applyBorder="1"/>
    <xf numFmtId="43" fontId="22" fillId="0" borderId="5" xfId="1" applyFont="1" applyFill="1" applyBorder="1" applyAlignment="1">
      <alignment horizontal="center" wrapText="1"/>
    </xf>
    <xf numFmtId="0" fontId="22" fillId="0" borderId="36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2" fillId="0" borderId="21" xfId="0" applyFont="1" applyFill="1" applyBorder="1" applyAlignment="1">
      <alignment wrapText="1"/>
    </xf>
    <xf numFmtId="0" fontId="22" fillId="0" borderId="6" xfId="0" applyFont="1" applyFill="1" applyBorder="1" applyAlignment="1">
      <alignment horizontal="center" wrapText="1"/>
    </xf>
    <xf numFmtId="43" fontId="22" fillId="0" borderId="2" xfId="1" applyFont="1" applyFill="1" applyBorder="1"/>
    <xf numFmtId="164" fontId="22" fillId="0" borderId="26" xfId="0" applyNumberFormat="1" applyFont="1" applyFill="1" applyBorder="1"/>
    <xf numFmtId="164" fontId="23" fillId="0" borderId="0" xfId="0" applyNumberFormat="1" applyFont="1" applyFill="1"/>
    <xf numFmtId="43" fontId="22" fillId="0" borderId="21" xfId="0" applyNumberFormat="1" applyFont="1" applyFill="1" applyBorder="1"/>
    <xf numFmtId="0" fontId="23" fillId="0" borderId="37" xfId="0" applyFont="1" applyFill="1" applyBorder="1"/>
    <xf numFmtId="0" fontId="36" fillId="0" borderId="52" xfId="0" applyFont="1" applyFill="1" applyBorder="1"/>
    <xf numFmtId="0" fontId="23" fillId="0" borderId="26" xfId="0" applyFont="1" applyFill="1" applyBorder="1"/>
    <xf numFmtId="0" fontId="23" fillId="0" borderId="4" xfId="0" applyFont="1" applyFill="1" applyBorder="1" applyAlignment="1">
      <alignment wrapText="1"/>
    </xf>
    <xf numFmtId="0" fontId="23" fillId="0" borderId="25" xfId="0" applyFont="1" applyFill="1" applyBorder="1"/>
    <xf numFmtId="0" fontId="23" fillId="0" borderId="5" xfId="0" applyFont="1" applyFill="1" applyBorder="1"/>
    <xf numFmtId="4" fontId="23" fillId="0" borderId="5" xfId="0" applyNumberFormat="1" applyFont="1" applyFill="1" applyBorder="1"/>
    <xf numFmtId="43" fontId="23" fillId="0" borderId="5" xfId="1" applyFont="1" applyFill="1" applyBorder="1"/>
    <xf numFmtId="0" fontId="23" fillId="0" borderId="13" xfId="0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43" fontId="22" fillId="0" borderId="14" xfId="1" applyFont="1" applyFill="1" applyBorder="1"/>
    <xf numFmtId="4" fontId="23" fillId="0" borderId="35" xfId="0" applyNumberFormat="1" applyFont="1" applyFill="1" applyBorder="1"/>
    <xf numFmtId="4" fontId="23" fillId="0" borderId="25" xfId="0" applyNumberFormat="1" applyFont="1" applyFill="1" applyBorder="1"/>
    <xf numFmtId="0" fontId="23" fillId="0" borderId="32" xfId="0" applyFont="1" applyFill="1" applyBorder="1"/>
    <xf numFmtId="43" fontId="23" fillId="0" borderId="14" xfId="0" applyNumberFormat="1" applyFont="1" applyFill="1" applyBorder="1"/>
    <xf numFmtId="10" fontId="24" fillId="0" borderId="26" xfId="0" applyNumberFormat="1" applyFont="1" applyFill="1" applyBorder="1" applyAlignment="1">
      <alignment horizontal="left"/>
    </xf>
    <xf numFmtId="4" fontId="23" fillId="0" borderId="32" xfId="0" applyNumberFormat="1" applyFont="1" applyFill="1" applyBorder="1"/>
    <xf numFmtId="0" fontId="24" fillId="0" borderId="26" xfId="0" applyFont="1" applyFill="1" applyBorder="1"/>
    <xf numFmtId="0" fontId="23" fillId="0" borderId="14" xfId="0" applyFont="1" applyFill="1" applyBorder="1" applyAlignment="1">
      <alignment wrapText="1"/>
    </xf>
    <xf numFmtId="0" fontId="30" fillId="0" borderId="32" xfId="0" applyFont="1" applyFill="1" applyBorder="1"/>
    <xf numFmtId="43" fontId="23" fillId="0" borderId="14" xfId="1" applyFont="1" applyFill="1" applyBorder="1" applyAlignment="1">
      <alignment wrapText="1"/>
    </xf>
    <xf numFmtId="43" fontId="25" fillId="0" borderId="14" xfId="1" applyFont="1" applyFill="1" applyBorder="1"/>
    <xf numFmtId="0" fontId="24" fillId="0" borderId="23" xfId="0" applyFont="1" applyFill="1" applyBorder="1"/>
    <xf numFmtId="43" fontId="25" fillId="0" borderId="23" xfId="1" applyFont="1" applyFill="1" applyBorder="1"/>
    <xf numFmtId="0" fontId="24" fillId="0" borderId="14" xfId="0" applyFont="1" applyFill="1" applyBorder="1" applyAlignment="1">
      <alignment wrapText="1"/>
    </xf>
    <xf numFmtId="0" fontId="25" fillId="0" borderId="14" xfId="0" applyFont="1" applyFill="1" applyBorder="1" applyAlignment="1">
      <alignment wrapText="1"/>
    </xf>
    <xf numFmtId="4" fontId="22" fillId="0" borderId="14" xfId="0" applyNumberFormat="1" applyFont="1" applyFill="1" applyBorder="1"/>
    <xf numFmtId="4" fontId="22" fillId="0" borderId="35" xfId="0" applyNumberFormat="1" applyFont="1" applyFill="1" applyBorder="1"/>
    <xf numFmtId="4" fontId="22" fillId="0" borderId="32" xfId="0" applyNumberFormat="1" applyFont="1" applyFill="1" applyBorder="1"/>
    <xf numFmtId="0" fontId="23" fillId="0" borderId="16" xfId="0" applyFont="1" applyFill="1" applyBorder="1"/>
    <xf numFmtId="4" fontId="22" fillId="0" borderId="17" xfId="0" applyNumberFormat="1" applyFont="1" applyFill="1" applyBorder="1"/>
    <xf numFmtId="0" fontId="23" fillId="0" borderId="7" xfId="0" applyFont="1" applyFill="1" applyBorder="1"/>
    <xf numFmtId="4" fontId="22" fillId="0" borderId="8" xfId="0" applyNumberFormat="1" applyFont="1" applyFill="1" applyBorder="1"/>
    <xf numFmtId="4" fontId="22" fillId="0" borderId="55" xfId="0" applyNumberFormat="1" applyFont="1" applyFill="1" applyBorder="1"/>
    <xf numFmtId="4" fontId="22" fillId="0" borderId="37" xfId="0" applyNumberFormat="1" applyFont="1" applyFill="1" applyBorder="1"/>
    <xf numFmtId="0" fontId="22" fillId="0" borderId="1" xfId="0" applyFont="1" applyFill="1" applyBorder="1" applyAlignment="1">
      <alignment wrapText="1"/>
    </xf>
    <xf numFmtId="43" fontId="22" fillId="0" borderId="2" xfId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164" fontId="22" fillId="0" borderId="24" xfId="0" applyNumberFormat="1" applyFont="1" applyFill="1" applyBorder="1" applyAlignment="1">
      <alignment horizontal="center" wrapText="1"/>
    </xf>
    <xf numFmtId="0" fontId="22" fillId="0" borderId="0" xfId="0" applyFont="1" applyFill="1" applyBorder="1"/>
    <xf numFmtId="0" fontId="30" fillId="0" borderId="26" xfId="0" applyFont="1" applyFill="1" applyBorder="1"/>
    <xf numFmtId="168" fontId="30" fillId="0" borderId="26" xfId="0" applyNumberFormat="1" applyFont="1" applyFill="1" applyBorder="1"/>
    <xf numFmtId="0" fontId="23" fillId="0" borderId="12" xfId="0" applyFont="1" applyFill="1" applyBorder="1" applyAlignment="1">
      <alignment wrapText="1"/>
    </xf>
    <xf numFmtId="43" fontId="23" fillId="0" borderId="11" xfId="1" applyFont="1" applyFill="1" applyBorder="1" applyAlignment="1">
      <alignment wrapText="1"/>
    </xf>
    <xf numFmtId="43" fontId="23" fillId="0" borderId="12" xfId="1" applyFont="1" applyFill="1" applyBorder="1" applyAlignment="1">
      <alignment wrapText="1"/>
    </xf>
    <xf numFmtId="0" fontId="30" fillId="0" borderId="26" xfId="0" applyFont="1" applyFill="1" applyBorder="1" applyAlignment="1">
      <alignment wrapText="1"/>
    </xf>
    <xf numFmtId="43" fontId="23" fillId="0" borderId="0" xfId="0" applyNumberFormat="1" applyFont="1" applyFill="1"/>
    <xf numFmtId="0" fontId="23" fillId="0" borderId="0" xfId="0" applyFont="1" applyFill="1" applyBorder="1"/>
    <xf numFmtId="43" fontId="23" fillId="0" borderId="8" xfId="1" applyFont="1" applyFill="1" applyBorder="1"/>
    <xf numFmtId="0" fontId="22" fillId="0" borderId="54" xfId="0" applyFont="1" applyFill="1" applyBorder="1" applyAlignment="1">
      <alignment horizontal="right"/>
    </xf>
    <xf numFmtId="0" fontId="22" fillId="0" borderId="22" xfId="0" applyFont="1" applyFill="1" applyBorder="1" applyAlignment="1">
      <alignment wrapText="1"/>
    </xf>
    <xf numFmtId="43" fontId="22" fillId="0" borderId="51" xfId="1" applyFont="1" applyFill="1" applyBorder="1" applyAlignment="1">
      <alignment wrapText="1"/>
    </xf>
    <xf numFmtId="43" fontId="22" fillId="0" borderId="21" xfId="1" applyFont="1" applyFill="1" applyBorder="1" applyAlignment="1">
      <alignment wrapText="1"/>
    </xf>
    <xf numFmtId="43" fontId="22" fillId="0" borderId="21" xfId="1" applyFont="1" applyFill="1" applyBorder="1"/>
    <xf numFmtId="0" fontId="22" fillId="0" borderId="2" xfId="0" applyFont="1" applyFill="1" applyBorder="1"/>
    <xf numFmtId="0" fontId="22" fillId="0" borderId="36" xfId="0" applyFont="1" applyFill="1" applyBorder="1"/>
    <xf numFmtId="0" fontId="22" fillId="0" borderId="3" xfId="0" applyFont="1" applyFill="1" applyBorder="1"/>
    <xf numFmtId="0" fontId="22" fillId="0" borderId="2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43" fontId="22" fillId="0" borderId="21" xfId="1" applyFont="1" applyFill="1" applyBorder="1" applyAlignment="1">
      <alignment horizontal="center" wrapText="1"/>
    </xf>
    <xf numFmtId="4" fontId="22" fillId="0" borderId="36" xfId="0" applyNumberFormat="1" applyFont="1" applyFill="1" applyBorder="1" applyAlignment="1">
      <alignment horizontal="center"/>
    </xf>
    <xf numFmtId="43" fontId="22" fillId="0" borderId="21" xfId="0" applyNumberFormat="1" applyFont="1" applyFill="1" applyBorder="1" applyAlignment="1">
      <alignment horizontal="center" wrapText="1"/>
    </xf>
    <xf numFmtId="0" fontId="23" fillId="0" borderId="19" xfId="0" applyFont="1" applyFill="1" applyBorder="1" applyAlignment="1">
      <alignment wrapText="1"/>
    </xf>
    <xf numFmtId="165" fontId="23" fillId="0" borderId="5" xfId="1" applyNumberFormat="1" applyFont="1" applyFill="1" applyBorder="1"/>
    <xf numFmtId="2" fontId="23" fillId="0" borderId="5" xfId="1" applyNumberFormat="1" applyFont="1" applyFill="1" applyBorder="1"/>
    <xf numFmtId="4" fontId="23" fillId="0" borderId="49" xfId="0" applyNumberFormat="1" applyFont="1" applyFill="1" applyBorder="1"/>
    <xf numFmtId="168" fontId="23" fillId="0" borderId="5" xfId="1" applyNumberFormat="1" applyFont="1" applyFill="1" applyBorder="1"/>
    <xf numFmtId="4" fontId="23" fillId="0" borderId="62" xfId="0" applyNumberFormat="1" applyFont="1" applyFill="1" applyBorder="1"/>
    <xf numFmtId="4" fontId="23" fillId="0" borderId="5" xfId="0" applyNumberFormat="1" applyFont="1" applyFill="1" applyBorder="1" applyAlignment="1">
      <alignment horizontal="center"/>
    </xf>
    <xf numFmtId="43" fontId="23" fillId="0" borderId="11" xfId="1" applyFont="1" applyFill="1" applyBorder="1"/>
    <xf numFmtId="0" fontId="23" fillId="0" borderId="25" xfId="0" applyFont="1" applyFill="1" applyBorder="1" applyAlignment="1">
      <alignment wrapText="1"/>
    </xf>
    <xf numFmtId="43" fontId="23" fillId="0" borderId="10" xfId="1" applyFont="1" applyFill="1" applyBorder="1"/>
    <xf numFmtId="165" fontId="23" fillId="0" borderId="11" xfId="1" applyNumberFormat="1" applyFont="1" applyFill="1" applyBorder="1"/>
    <xf numFmtId="2" fontId="23" fillId="0" borderId="11" xfId="1" applyNumberFormat="1" applyFont="1" applyFill="1" applyBorder="1"/>
    <xf numFmtId="4" fontId="23" fillId="0" borderId="43" xfId="0" applyNumberFormat="1" applyFont="1" applyFill="1" applyBorder="1"/>
    <xf numFmtId="168" fontId="23" fillId="0" borderId="11" xfId="1" applyNumberFormat="1" applyFont="1" applyFill="1" applyBorder="1"/>
    <xf numFmtId="4" fontId="23" fillId="0" borderId="45" xfId="0" applyNumberFormat="1" applyFont="1" applyFill="1" applyBorder="1"/>
    <xf numFmtId="0" fontId="30" fillId="0" borderId="0" xfId="0" applyFont="1" applyFill="1" applyBorder="1"/>
    <xf numFmtId="4" fontId="23" fillId="0" borderId="12" xfId="0" applyNumberFormat="1" applyFont="1" applyFill="1" applyBorder="1" applyAlignment="1">
      <alignment wrapText="1"/>
    </xf>
    <xf numFmtId="0" fontId="22" fillId="0" borderId="8" xfId="0" applyFont="1" applyFill="1" applyBorder="1"/>
    <xf numFmtId="2" fontId="23" fillId="0" borderId="11" xfId="0" applyNumberFormat="1" applyFont="1" applyFill="1" applyBorder="1"/>
    <xf numFmtId="4" fontId="23" fillId="0" borderId="8" xfId="0" applyNumberFormat="1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4" fontId="22" fillId="0" borderId="21" xfId="0" applyNumberFormat="1" applyFont="1" applyFill="1" applyBorder="1"/>
    <xf numFmtId="0" fontId="31" fillId="0" borderId="22" xfId="0" applyFont="1" applyFill="1" applyBorder="1"/>
    <xf numFmtId="0" fontId="22" fillId="0" borderId="2" xfId="0" applyFont="1" applyFill="1" applyBorder="1" applyAlignment="1">
      <alignment horizontal="center"/>
    </xf>
    <xf numFmtId="0" fontId="22" fillId="0" borderId="21" xfId="0" applyFont="1" applyFill="1" applyBorder="1" applyAlignment="1"/>
    <xf numFmtId="0" fontId="23" fillId="0" borderId="12" xfId="0" applyFont="1" applyFill="1" applyBorder="1"/>
    <xf numFmtId="0" fontId="23" fillId="0" borderId="11" xfId="0" applyFont="1" applyFill="1" applyBorder="1"/>
    <xf numFmtId="4" fontId="23" fillId="0" borderId="44" xfId="0" applyNumberFormat="1" applyFont="1" applyFill="1" applyBorder="1"/>
    <xf numFmtId="43" fontId="23" fillId="0" borderId="25" xfId="1" applyFont="1" applyFill="1" applyBorder="1"/>
    <xf numFmtId="0" fontId="23" fillId="0" borderId="52" xfId="0" applyFont="1" applyFill="1" applyBorder="1"/>
    <xf numFmtId="43" fontId="23" fillId="0" borderId="51" xfId="1" applyFont="1" applyFill="1" applyBorder="1"/>
    <xf numFmtId="43" fontId="22" fillId="0" borderId="0" xfId="1" applyFont="1" applyFill="1" applyBorder="1"/>
    <xf numFmtId="0" fontId="22" fillId="0" borderId="1" xfId="0" applyFont="1" applyFill="1" applyBorder="1"/>
    <xf numFmtId="0" fontId="23" fillId="0" borderId="21" xfId="0" applyFont="1" applyFill="1" applyBorder="1"/>
    <xf numFmtId="43" fontId="23" fillId="0" borderId="19" xfId="1" applyFont="1" applyFill="1" applyBorder="1"/>
    <xf numFmtId="0" fontId="36" fillId="0" borderId="52" xfId="0" applyFont="1" applyFill="1" applyBorder="1" applyAlignment="1">
      <alignment horizontal="center"/>
    </xf>
    <xf numFmtId="0" fontId="23" fillId="0" borderId="33" xfId="0" applyFont="1" applyFill="1" applyBorder="1"/>
    <xf numFmtId="164" fontId="22" fillId="0" borderId="21" xfId="0" applyNumberFormat="1" applyFont="1" applyFill="1" applyBorder="1" applyAlignment="1">
      <alignment horizontal="center" wrapText="1"/>
    </xf>
    <xf numFmtId="43" fontId="22" fillId="0" borderId="11" xfId="0" applyNumberFormat="1" applyFont="1" applyFill="1" applyBorder="1"/>
    <xf numFmtId="43" fontId="22" fillId="0" borderId="5" xfId="0" applyNumberFormat="1" applyFont="1" applyFill="1" applyBorder="1"/>
    <xf numFmtId="0" fontId="23" fillId="0" borderId="18" xfId="0" applyFont="1" applyFill="1" applyBorder="1" applyAlignment="1">
      <alignment wrapText="1"/>
    </xf>
    <xf numFmtId="43" fontId="23" fillId="0" borderId="17" xfId="1" applyFont="1" applyFill="1" applyBorder="1" applyAlignment="1">
      <alignment wrapText="1"/>
    </xf>
    <xf numFmtId="0" fontId="22" fillId="0" borderId="21" xfId="0" applyFont="1" applyFill="1" applyBorder="1" applyAlignment="1">
      <alignment horizontal="right"/>
    </xf>
    <xf numFmtId="4" fontId="23" fillId="0" borderId="15" xfId="0" applyNumberFormat="1" applyFont="1" applyFill="1" applyBorder="1" applyAlignment="1">
      <alignment horizontal="center"/>
    </xf>
    <xf numFmtId="4" fontId="23" fillId="0" borderId="0" xfId="0" applyNumberFormat="1" applyFont="1" applyFill="1" applyBorder="1"/>
    <xf numFmtId="4" fontId="23" fillId="0" borderId="12" xfId="0" applyNumberFormat="1" applyFont="1" applyFill="1" applyBorder="1"/>
    <xf numFmtId="4" fontId="23" fillId="0" borderId="18" xfId="0" applyNumberFormat="1" applyFont="1" applyFill="1" applyBorder="1"/>
    <xf numFmtId="4" fontId="23" fillId="0" borderId="37" xfId="0" applyNumberFormat="1" applyFont="1" applyFill="1" applyBorder="1"/>
    <xf numFmtId="43" fontId="22" fillId="0" borderId="4" xfId="1" applyFont="1" applyFill="1" applyBorder="1"/>
    <xf numFmtId="43" fontId="22" fillId="0" borderId="10" xfId="1" applyFont="1" applyFill="1" applyBorder="1"/>
    <xf numFmtId="0" fontId="36" fillId="0" borderId="22" xfId="0" applyFont="1" applyFill="1" applyBorder="1" applyAlignment="1"/>
    <xf numFmtId="0" fontId="36" fillId="0" borderId="24" xfId="0" applyFont="1" applyFill="1" applyBorder="1" applyAlignment="1"/>
    <xf numFmtId="0" fontId="37" fillId="0" borderId="51" xfId="0" applyFont="1" applyFill="1" applyBorder="1"/>
    <xf numFmtId="0" fontId="36" fillId="0" borderId="51" xfId="0" applyFont="1" applyFill="1" applyBorder="1"/>
    <xf numFmtId="4" fontId="36" fillId="0" borderId="53" xfId="0" applyNumberFormat="1" applyFont="1" applyFill="1" applyBorder="1"/>
    <xf numFmtId="4" fontId="36" fillId="0" borderId="54" xfId="0" applyNumberFormat="1" applyFont="1" applyFill="1" applyBorder="1"/>
    <xf numFmtId="4" fontId="36" fillId="0" borderId="51" xfId="0" applyNumberFormat="1" applyFont="1" applyFill="1" applyBorder="1"/>
    <xf numFmtId="0" fontId="37" fillId="0" borderId="0" xfId="0" applyFont="1" applyFill="1"/>
    <xf numFmtId="0" fontId="36" fillId="0" borderId="21" xfId="0" applyFont="1" applyFill="1" applyBorder="1" applyAlignment="1"/>
    <xf numFmtId="0" fontId="36" fillId="0" borderId="21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Border="1" applyAlignment="1"/>
    <xf numFmtId="4" fontId="30" fillId="0" borderId="5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center" vertical="center"/>
    </xf>
    <xf numFmtId="43" fontId="29" fillId="0" borderId="56" xfId="1" applyFont="1" applyFill="1" applyBorder="1" applyAlignment="1">
      <alignment horizontal="center" vertical="center"/>
    </xf>
    <xf numFmtId="43" fontId="29" fillId="0" borderId="55" xfId="1" applyFont="1" applyFill="1" applyBorder="1" applyAlignment="1">
      <alignment horizontal="center" vertical="center"/>
    </xf>
    <xf numFmtId="4" fontId="29" fillId="0" borderId="21" xfId="0" applyNumberFormat="1" applyFont="1" applyFill="1" applyBorder="1"/>
    <xf numFmtId="0" fontId="3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30" fillId="0" borderId="0" xfId="0" applyFont="1" applyFill="1" applyAlignment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1" xfId="0" applyFont="1" applyFill="1" applyBorder="1"/>
    <xf numFmtId="0" fontId="38" fillId="0" borderId="5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8" fillId="0" borderId="38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30" fillId="0" borderId="14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4" fontId="30" fillId="0" borderId="27" xfId="0" applyNumberFormat="1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/>
    </xf>
    <xf numFmtId="4" fontId="30" fillId="0" borderId="40" xfId="0" applyNumberFormat="1" applyFont="1" applyFill="1" applyBorder="1" applyAlignment="1">
      <alignment vertical="center"/>
    </xf>
    <xf numFmtId="4" fontId="30" fillId="0" borderId="34" xfId="0" applyNumberFormat="1" applyFont="1" applyFill="1" applyBorder="1" applyAlignment="1">
      <alignment horizontal="center" vertical="center"/>
    </xf>
    <xf numFmtId="0" fontId="29" fillId="0" borderId="21" xfId="0" applyFont="1" applyFill="1" applyBorder="1"/>
    <xf numFmtId="0" fontId="29" fillId="0" borderId="4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43" fontId="29" fillId="0" borderId="61" xfId="1" applyFont="1" applyFill="1" applyBorder="1" applyAlignment="1">
      <alignment horizontal="center" vertical="center"/>
    </xf>
    <xf numFmtId="2" fontId="29" fillId="0" borderId="61" xfId="0" applyNumberFormat="1" applyFont="1" applyFill="1" applyBorder="1" applyAlignment="1">
      <alignment horizontal="center" vertical="center"/>
    </xf>
    <xf numFmtId="4" fontId="29" fillId="0" borderId="42" xfId="0" applyNumberFormat="1" applyFont="1" applyFill="1" applyBorder="1" applyAlignment="1">
      <alignment horizontal="center" vertical="center"/>
    </xf>
    <xf numFmtId="4" fontId="29" fillId="0" borderId="24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 wrapText="1"/>
    </xf>
    <xf numFmtId="0" fontId="30" fillId="0" borderId="68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43" fontId="30" fillId="0" borderId="58" xfId="1" applyFont="1" applyFill="1" applyBorder="1" applyAlignment="1">
      <alignment horizontal="center" vertical="center"/>
    </xf>
    <xf numFmtId="4" fontId="30" fillId="0" borderId="58" xfId="0" applyNumberFormat="1" applyFont="1" applyFill="1" applyBorder="1" applyAlignment="1">
      <alignment horizontal="center" vertical="center"/>
    </xf>
    <xf numFmtId="43" fontId="30" fillId="0" borderId="48" xfId="1" applyFont="1" applyFill="1" applyBorder="1" applyAlignment="1">
      <alignment vertical="center"/>
    </xf>
    <xf numFmtId="0" fontId="30" fillId="0" borderId="49" xfId="0" applyFont="1" applyFill="1" applyBorder="1" applyAlignment="1">
      <alignment horizontal="center" vertical="center"/>
    </xf>
    <xf numFmtId="4" fontId="30" fillId="0" borderId="48" xfId="0" applyNumberFormat="1" applyFont="1" applyFill="1" applyBorder="1" applyAlignment="1">
      <alignment vertical="center"/>
    </xf>
    <xf numFmtId="0" fontId="30" fillId="0" borderId="17" xfId="0" applyFont="1" applyFill="1" applyBorder="1" applyAlignment="1">
      <alignment vertical="center" wrapText="1"/>
    </xf>
    <xf numFmtId="0" fontId="30" fillId="0" borderId="63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43" fontId="30" fillId="0" borderId="26" xfId="1" applyFont="1" applyFill="1" applyBorder="1" applyAlignment="1">
      <alignment horizontal="center" vertical="center"/>
    </xf>
    <xf numFmtId="4" fontId="30" fillId="0" borderId="26" xfId="0" applyNumberFormat="1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43" fontId="30" fillId="0" borderId="63" xfId="1" applyFont="1" applyFill="1" applyBorder="1" applyAlignment="1">
      <alignment horizontal="center" vertical="center"/>
    </xf>
    <xf numFmtId="4" fontId="30" fillId="0" borderId="0" xfId="0" applyNumberFormat="1" applyFont="1" applyFill="1"/>
    <xf numFmtId="4" fontId="30" fillId="0" borderId="39" xfId="0" applyNumberFormat="1" applyFont="1" applyFill="1" applyBorder="1" applyAlignment="1">
      <alignment horizontal="center" vertical="center"/>
    </xf>
    <xf numFmtId="4" fontId="30" fillId="0" borderId="65" xfId="0" applyNumberFormat="1" applyFont="1" applyFill="1" applyBorder="1" applyAlignment="1">
      <alignment horizontal="center" vertical="center"/>
    </xf>
    <xf numFmtId="4" fontId="30" fillId="0" borderId="4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/>
    </xf>
    <xf numFmtId="4" fontId="30" fillId="0" borderId="38" xfId="0" applyNumberFormat="1" applyFont="1" applyFill="1" applyBorder="1" applyAlignment="1">
      <alignment horizontal="center" vertical="center"/>
    </xf>
    <xf numFmtId="4" fontId="30" fillId="0" borderId="35" xfId="0" applyNumberFormat="1" applyFont="1" applyFill="1" applyBorder="1" applyAlignment="1">
      <alignment horizontal="center" vertical="center"/>
    </xf>
    <xf numFmtId="4" fontId="30" fillId="0" borderId="40" xfId="0" applyNumberFormat="1" applyFont="1" applyFill="1" applyBorder="1" applyAlignment="1">
      <alignment horizontal="center" vertical="center"/>
    </xf>
    <xf numFmtId="0" fontId="39" fillId="0" borderId="0" xfId="0" applyFont="1" applyFill="1"/>
    <xf numFmtId="43" fontId="30" fillId="0" borderId="28" xfId="1" applyFont="1" applyFill="1" applyBorder="1" applyAlignment="1">
      <alignment horizontal="center" vertical="center"/>
    </xf>
    <xf numFmtId="43" fontId="30" fillId="0" borderId="38" xfId="1" applyFont="1" applyFill="1" applyBorder="1" applyAlignment="1">
      <alignment horizontal="center" vertical="center"/>
    </xf>
    <xf numFmtId="164" fontId="30" fillId="0" borderId="32" xfId="0" applyNumberFormat="1" applyFont="1" applyFill="1" applyBorder="1" applyAlignment="1">
      <alignment horizontal="center" vertical="center"/>
    </xf>
    <xf numFmtId="43" fontId="30" fillId="0" borderId="35" xfId="1" applyFont="1" applyFill="1" applyBorder="1" applyAlignment="1">
      <alignment horizontal="center" vertical="center"/>
    </xf>
    <xf numFmtId="164" fontId="30" fillId="0" borderId="33" xfId="0" applyNumberFormat="1" applyFont="1" applyFill="1" applyBorder="1" applyAlignment="1">
      <alignment horizontal="center" vertical="center"/>
    </xf>
    <xf numFmtId="4" fontId="29" fillId="0" borderId="41" xfId="0" applyNumberFormat="1" applyFont="1" applyFill="1" applyBorder="1" applyAlignment="1">
      <alignment vertical="center" wrapText="1"/>
    </xf>
    <xf numFmtId="4" fontId="29" fillId="0" borderId="61" xfId="0" applyNumberFormat="1" applyFont="1" applyFill="1" applyBorder="1" applyAlignment="1">
      <alignment vertical="center" wrapText="1"/>
    </xf>
    <xf numFmtId="43" fontId="29" fillId="0" borderId="24" xfId="1" applyFont="1" applyFill="1" applyBorder="1" applyAlignment="1">
      <alignment horizontal="center" vertical="center"/>
    </xf>
    <xf numFmtId="4" fontId="29" fillId="0" borderId="59" xfId="0" applyNumberFormat="1" applyFont="1" applyFill="1" applyBorder="1" applyAlignment="1">
      <alignment vertical="center" wrapText="1"/>
    </xf>
    <xf numFmtId="43" fontId="29" fillId="0" borderId="59" xfId="1" applyFont="1" applyFill="1" applyBorder="1" applyAlignment="1">
      <alignment vertical="center"/>
    </xf>
    <xf numFmtId="43" fontId="29" fillId="0" borderId="60" xfId="1" applyFont="1" applyFill="1" applyBorder="1" applyAlignment="1">
      <alignment horizontal="center" vertical="center"/>
    </xf>
    <xf numFmtId="4" fontId="30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horizontal="center" vertical="center"/>
    </xf>
    <xf numFmtId="4" fontId="30" fillId="0" borderId="26" xfId="0" applyNumberFormat="1" applyFont="1" applyFill="1" applyBorder="1"/>
    <xf numFmtId="4" fontId="30" fillId="0" borderId="28" xfId="0" applyNumberFormat="1" applyFont="1" applyFill="1" applyBorder="1"/>
    <xf numFmtId="4" fontId="30" fillId="0" borderId="35" xfId="0" applyNumberFormat="1" applyFont="1" applyFill="1" applyBorder="1"/>
    <xf numFmtId="4" fontId="30" fillId="0" borderId="38" xfId="0" applyNumberFormat="1" applyFont="1" applyFill="1" applyBorder="1"/>
    <xf numFmtId="4" fontId="30" fillId="0" borderId="32" xfId="0" applyNumberFormat="1" applyFont="1" applyFill="1" applyBorder="1"/>
    <xf numFmtId="164" fontId="30" fillId="0" borderId="0" xfId="0" applyNumberFormat="1" applyFont="1" applyFill="1"/>
    <xf numFmtId="0" fontId="30" fillId="0" borderId="35" xfId="0" applyFont="1" applyFill="1" applyBorder="1" applyAlignment="1">
      <alignment horizontal="center"/>
    </xf>
    <xf numFmtId="0" fontId="30" fillId="0" borderId="26" xfId="0" applyFont="1" applyFill="1" applyBorder="1" applyAlignment="1">
      <alignment horizontal="center"/>
    </xf>
    <xf numFmtId="0" fontId="30" fillId="0" borderId="39" xfId="0" applyFont="1" applyFill="1" applyBorder="1" applyAlignment="1">
      <alignment horizontal="center"/>
    </xf>
    <xf numFmtId="43" fontId="30" fillId="0" borderId="27" xfId="1" applyFont="1" applyFill="1" applyBorder="1"/>
    <xf numFmtId="43" fontId="30" fillId="0" borderId="57" xfId="1" applyFont="1" applyFill="1" applyBorder="1"/>
    <xf numFmtId="43" fontId="30" fillId="0" borderId="39" xfId="1" applyFont="1" applyFill="1" applyBorder="1"/>
    <xf numFmtId="4" fontId="30" fillId="0" borderId="40" xfId="0" applyNumberFormat="1" applyFont="1" applyFill="1" applyBorder="1"/>
    <xf numFmtId="4" fontId="30" fillId="0" borderId="33" xfId="0" applyNumberFormat="1" applyFont="1" applyFill="1" applyBorder="1"/>
    <xf numFmtId="0" fontId="29" fillId="0" borderId="41" xfId="0" applyFont="1" applyFill="1" applyBorder="1" applyAlignment="1"/>
    <xf numFmtId="4" fontId="29" fillId="0" borderId="61" xfId="0" applyNumberFormat="1" applyFont="1" applyFill="1" applyBorder="1" applyAlignment="1"/>
    <xf numFmtId="4" fontId="29" fillId="0" borderId="69" xfId="0" applyNumberFormat="1" applyFont="1" applyFill="1" applyBorder="1"/>
    <xf numFmtId="4" fontId="29" fillId="0" borderId="41" xfId="0" applyNumberFormat="1" applyFont="1" applyFill="1" applyBorder="1"/>
    <xf numFmtId="0" fontId="29" fillId="0" borderId="61" xfId="0" applyFont="1" applyFill="1" applyBorder="1" applyAlignment="1"/>
    <xf numFmtId="4" fontId="29" fillId="0" borderId="42" xfId="0" applyNumberFormat="1" applyFont="1" applyFill="1" applyBorder="1"/>
    <xf numFmtId="4" fontId="29" fillId="0" borderId="24" xfId="0" applyNumberFormat="1" applyFont="1" applyFill="1" applyBorder="1"/>
    <xf numFmtId="43" fontId="30" fillId="0" borderId="0" xfId="0" applyNumberFormat="1" applyFont="1" applyFill="1"/>
    <xf numFmtId="0" fontId="22" fillId="0" borderId="0" xfId="0" applyFont="1" applyFill="1" applyAlignment="1">
      <alignment horizontal="center"/>
    </xf>
    <xf numFmtId="0" fontId="38" fillId="0" borderId="29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4" fontId="29" fillId="0" borderId="71" xfId="0" applyNumberFormat="1" applyFont="1" applyFill="1" applyBorder="1" applyAlignment="1">
      <alignment horizontal="center" vertical="center"/>
    </xf>
    <xf numFmtId="4" fontId="30" fillId="0" borderId="43" xfId="0" applyNumberFormat="1" applyFont="1" applyFill="1" applyBorder="1" applyAlignment="1">
      <alignment horizontal="center" vertical="center" wrapText="1"/>
    </xf>
    <xf numFmtId="4" fontId="30" fillId="0" borderId="30" xfId="0" applyNumberFormat="1" applyFont="1" applyFill="1" applyBorder="1"/>
    <xf numFmtId="4" fontId="30" fillId="0" borderId="45" xfId="0" applyNumberFormat="1" applyFont="1" applyFill="1" applyBorder="1"/>
    <xf numFmtId="4" fontId="30" fillId="0" borderId="43" xfId="0" applyNumberFormat="1" applyFont="1" applyFill="1" applyBorder="1"/>
    <xf numFmtId="4" fontId="30" fillId="0" borderId="30" xfId="0" applyNumberFormat="1" applyFont="1" applyFill="1" applyBorder="1" applyAlignment="1">
      <alignment horizontal="center" vertical="center" wrapText="1"/>
    </xf>
    <xf numFmtId="4" fontId="30" fillId="0" borderId="44" xfId="0" applyNumberFormat="1" applyFont="1" applyFill="1" applyBorder="1"/>
    <xf numFmtId="0" fontId="39" fillId="0" borderId="61" xfId="0" applyFont="1" applyFill="1" applyBorder="1" applyAlignment="1">
      <alignment horizontal="center" vertical="center" wrapText="1"/>
    </xf>
    <xf numFmtId="0" fontId="29" fillId="0" borderId="61" xfId="0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43" fontId="29" fillId="0" borderId="54" xfId="1" applyFont="1" applyFill="1" applyBorder="1" applyAlignment="1">
      <alignment horizontal="center" vertical="center"/>
    </xf>
    <xf numFmtId="43" fontId="29" fillId="0" borderId="41" xfId="1" applyFont="1" applyFill="1" applyBorder="1" applyAlignment="1">
      <alignment horizontal="center" vertical="center"/>
    </xf>
    <xf numFmtId="43" fontId="29" fillId="0" borderId="61" xfId="1" applyFont="1" applyFill="1" applyBorder="1" applyAlignment="1">
      <alignment vertical="center"/>
    </xf>
    <xf numFmtId="43" fontId="29" fillId="0" borderId="42" xfId="1" applyFont="1" applyFill="1" applyBorder="1" applyAlignment="1">
      <alignment horizontal="center" vertical="center"/>
    </xf>
    <xf numFmtId="43" fontId="31" fillId="0" borderId="22" xfId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vertical="center"/>
    </xf>
    <xf numFmtId="4" fontId="31" fillId="0" borderId="22" xfId="0" applyNumberFormat="1" applyFont="1" applyFill="1" applyBorder="1" applyAlignment="1">
      <alignment vertical="center"/>
    </xf>
    <xf numFmtId="4" fontId="31" fillId="0" borderId="21" xfId="0" applyNumberFormat="1" applyFont="1" applyFill="1" applyBorder="1" applyAlignment="1">
      <alignment horizontal="center" vertical="center"/>
    </xf>
    <xf numFmtId="0" fontId="31" fillId="0" borderId="0" xfId="0" applyFont="1" applyFill="1"/>
    <xf numFmtId="4" fontId="31" fillId="0" borderId="0" xfId="0" applyNumberFormat="1" applyFont="1" applyFill="1"/>
    <xf numFmtId="0" fontId="29" fillId="0" borderId="21" xfId="0" applyFont="1" applyFill="1" applyBorder="1" applyAlignment="1">
      <alignment wrapText="1"/>
    </xf>
    <xf numFmtId="0" fontId="29" fillId="0" borderId="7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vertical="center"/>
    </xf>
    <xf numFmtId="4" fontId="29" fillId="0" borderId="61" xfId="0" applyNumberFormat="1" applyFont="1" applyFill="1" applyBorder="1" applyAlignment="1">
      <alignment vertical="center"/>
    </xf>
    <xf numFmtId="43" fontId="31" fillId="0" borderId="21" xfId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right" vertical="center"/>
    </xf>
    <xf numFmtId="0" fontId="29" fillId="0" borderId="71" xfId="0" applyFont="1" applyFill="1" applyBorder="1" applyAlignment="1"/>
    <xf numFmtId="0" fontId="29" fillId="0" borderId="22" xfId="0" applyFont="1" applyFill="1" applyBorder="1" applyAlignment="1"/>
    <xf numFmtId="0" fontId="29" fillId="0" borderId="52" xfId="0" applyFont="1" applyFill="1" applyBorder="1" applyAlignment="1"/>
    <xf numFmtId="0" fontId="30" fillId="0" borderId="58" xfId="0" applyFont="1" applyFill="1" applyBorder="1" applyAlignment="1">
      <alignment horizontal="center"/>
    </xf>
    <xf numFmtId="4" fontId="30" fillId="0" borderId="58" xfId="0" applyNumberFormat="1" applyFont="1" applyFill="1" applyBorder="1"/>
    <xf numFmtId="4" fontId="30" fillId="0" borderId="49" xfId="0" applyNumberFormat="1" applyFont="1" applyFill="1" applyBorder="1"/>
    <xf numFmtId="4" fontId="30" fillId="0" borderId="50" xfId="0" applyNumberFormat="1" applyFont="1" applyFill="1" applyBorder="1"/>
    <xf numFmtId="4" fontId="30" fillId="0" borderId="19" xfId="0" applyNumberFormat="1" applyFont="1" applyFill="1" applyBorder="1"/>
    <xf numFmtId="0" fontId="30" fillId="0" borderId="59" xfId="0" applyFont="1" applyFill="1" applyBorder="1" applyAlignment="1">
      <alignment horizontal="center"/>
    </xf>
    <xf numFmtId="43" fontId="30" fillId="0" borderId="59" xfId="1" applyFont="1" applyFill="1" applyBorder="1"/>
    <xf numFmtId="43" fontId="30" fillId="0" borderId="60" xfId="1" applyFont="1" applyFill="1" applyBorder="1"/>
    <xf numFmtId="43" fontId="30" fillId="0" borderId="55" xfId="1" applyFont="1" applyFill="1" applyBorder="1"/>
    <xf numFmtId="4" fontId="30" fillId="0" borderId="56" xfId="0" applyNumberFormat="1" applyFont="1" applyFill="1" applyBorder="1"/>
    <xf numFmtId="4" fontId="30" fillId="0" borderId="37" xfId="0" applyNumberFormat="1" applyFont="1" applyFill="1" applyBorder="1"/>
    <xf numFmtId="43" fontId="30" fillId="0" borderId="58" xfId="1" applyFont="1" applyFill="1" applyBorder="1"/>
    <xf numFmtId="43" fontId="30" fillId="0" borderId="62" xfId="1" applyFont="1" applyFill="1" applyBorder="1"/>
    <xf numFmtId="0" fontId="31" fillId="0" borderId="20" xfId="0" applyFont="1" applyFill="1" applyBorder="1" applyAlignment="1"/>
    <xf numFmtId="4" fontId="29" fillId="0" borderId="21" xfId="0" applyNumberFormat="1" applyFont="1" applyFill="1" applyBorder="1" applyAlignment="1"/>
    <xf numFmtId="0" fontId="29" fillId="0" borderId="23" xfId="0" applyFont="1" applyFill="1" applyBorder="1"/>
    <xf numFmtId="0" fontId="29" fillId="0" borderId="72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vertical="center"/>
    </xf>
    <xf numFmtId="4" fontId="29" fillId="0" borderId="31" xfId="0" applyNumberFormat="1" applyFont="1" applyFill="1" applyBorder="1" applyAlignment="1">
      <alignment vertical="center"/>
    </xf>
    <xf numFmtId="4" fontId="29" fillId="0" borderId="67" xfId="0" applyNumberFormat="1" applyFont="1" applyFill="1" applyBorder="1" applyAlignment="1">
      <alignment horizontal="center" vertical="center"/>
    </xf>
    <xf numFmtId="4" fontId="29" fillId="0" borderId="65" xfId="0" applyNumberFormat="1" applyFont="1" applyFill="1" applyBorder="1" applyAlignment="1">
      <alignment horizontal="center" vertical="center"/>
    </xf>
    <xf numFmtId="4" fontId="29" fillId="0" borderId="23" xfId="0" applyNumberFormat="1" applyFont="1" applyFill="1" applyBorder="1" applyAlignment="1">
      <alignment horizontal="center" vertical="center"/>
    </xf>
    <xf numFmtId="4" fontId="29" fillId="0" borderId="41" xfId="0" applyNumberFormat="1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/>
    </xf>
    <xf numFmtId="43" fontId="30" fillId="0" borderId="66" xfId="1" applyFont="1" applyFill="1" applyBorder="1" applyAlignment="1">
      <alignment horizontal="center" vertical="center"/>
    </xf>
    <xf numFmtId="4" fontId="30" fillId="0" borderId="66" xfId="0" applyNumberFormat="1" applyFont="1" applyFill="1" applyBorder="1" applyAlignment="1">
      <alignment horizontal="center" vertical="center"/>
    </xf>
    <xf numFmtId="4" fontId="30" fillId="0" borderId="48" xfId="0" applyNumberFormat="1" applyFont="1" applyFill="1" applyBorder="1" applyAlignment="1">
      <alignment horizontal="center" vertical="center"/>
    </xf>
    <xf numFmtId="4" fontId="30" fillId="0" borderId="47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43" fontId="30" fillId="0" borderId="62" xfId="1" applyFont="1" applyFill="1" applyBorder="1" applyAlignment="1">
      <alignment horizontal="center" vertical="center"/>
    </xf>
    <xf numFmtId="43" fontId="30" fillId="0" borderId="50" xfId="1" applyFont="1" applyFill="1" applyBorder="1" applyAlignment="1">
      <alignment horizontal="center" vertical="center"/>
    </xf>
    <xf numFmtId="164" fontId="30" fillId="0" borderId="19" xfId="0" applyNumberFormat="1" applyFont="1" applyFill="1" applyBorder="1" applyAlignment="1">
      <alignment horizontal="center" vertical="center"/>
    </xf>
    <xf numFmtId="4" fontId="40" fillId="0" borderId="13" xfId="0" applyNumberFormat="1" applyFont="1" applyFill="1" applyBorder="1" applyAlignment="1">
      <alignment vertical="center" wrapText="1"/>
    </xf>
    <xf numFmtId="43" fontId="31" fillId="0" borderId="51" xfId="1" applyFont="1" applyFill="1" applyBorder="1" applyAlignment="1">
      <alignment horizontal="center" vertical="center"/>
    </xf>
    <xf numFmtId="0" fontId="29" fillId="0" borderId="55" xfId="0" applyFont="1" applyFill="1" applyBorder="1" applyAlignment="1">
      <alignment wrapText="1"/>
    </xf>
    <xf numFmtId="43" fontId="31" fillId="0" borderId="52" xfId="1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vertical="center"/>
    </xf>
    <xf numFmtId="4" fontId="31" fillId="0" borderId="52" xfId="0" applyNumberFormat="1" applyFont="1" applyFill="1" applyBorder="1" applyAlignment="1">
      <alignment vertical="center"/>
    </xf>
    <xf numFmtId="4" fontId="31" fillId="0" borderId="51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22" fillId="0" borderId="12" xfId="1" applyFont="1" applyFill="1" applyBorder="1"/>
    <xf numFmtId="43" fontId="23" fillId="0" borderId="12" xfId="1" applyFont="1" applyFill="1" applyBorder="1"/>
    <xf numFmtId="43" fontId="23" fillId="0" borderId="18" xfId="1" applyFont="1" applyFill="1" applyBorder="1"/>
    <xf numFmtId="43" fontId="25" fillId="0" borderId="15" xfId="1" applyFont="1" applyFill="1" applyBorder="1"/>
    <xf numFmtId="43" fontId="25" fillId="0" borderId="0" xfId="1" applyFont="1" applyFill="1" applyBorder="1"/>
    <xf numFmtId="43" fontId="23" fillId="0" borderId="0" xfId="1" applyFont="1" applyFill="1" applyBorder="1"/>
    <xf numFmtId="164" fontId="22" fillId="0" borderId="0" xfId="0" applyNumberFormat="1" applyFont="1" applyFill="1" applyBorder="1" applyAlignment="1">
      <alignment horizontal="center" wrapText="1"/>
    </xf>
    <xf numFmtId="43" fontId="22" fillId="0" borderId="0" xfId="0" applyNumberFormat="1" applyFont="1" applyFill="1" applyBorder="1" applyAlignment="1">
      <alignment horizontal="center" wrapText="1"/>
    </xf>
    <xf numFmtId="4" fontId="36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left"/>
    </xf>
    <xf numFmtId="0" fontId="29" fillId="0" borderId="0" xfId="0" applyFont="1" applyFill="1" applyAlignment="1"/>
    <xf numFmtId="10" fontId="30" fillId="0" borderId="26" xfId="0" applyNumberFormat="1" applyFont="1" applyFill="1" applyBorder="1" applyAlignment="1">
      <alignment horizontal="left"/>
    </xf>
    <xf numFmtId="4" fontId="40" fillId="0" borderId="2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/>
    </xf>
    <xf numFmtId="0" fontId="23" fillId="0" borderId="25" xfId="0" applyFont="1" applyFill="1" applyBorder="1" applyAlignment="1">
      <alignment horizontal="left" wrapText="1"/>
    </xf>
    <xf numFmtId="43" fontId="23" fillId="0" borderId="10" xfId="1" applyFont="1" applyFill="1" applyBorder="1" applyAlignment="1">
      <alignment horizontal="center"/>
    </xf>
    <xf numFmtId="4" fontId="22" fillId="0" borderId="10" xfId="0" applyNumberFormat="1" applyFont="1" applyFill="1" applyBorder="1" applyAlignment="1">
      <alignment horizontal="center"/>
    </xf>
    <xf numFmtId="43" fontId="22" fillId="0" borderId="2" xfId="0" applyNumberFormat="1" applyFont="1" applyFill="1" applyBorder="1" applyAlignment="1">
      <alignment horizontal="center" wrapText="1"/>
    </xf>
    <xf numFmtId="0" fontId="31" fillId="0" borderId="52" xfId="0" applyFont="1" applyFill="1" applyBorder="1"/>
    <xf numFmtId="43" fontId="23" fillId="0" borderId="5" xfId="1" applyFont="1" applyFill="1" applyBorder="1" applyAlignment="1">
      <alignment wrapText="1"/>
    </xf>
    <xf numFmtId="0" fontId="22" fillId="0" borderId="17" xfId="0" applyFont="1" applyFill="1" applyBorder="1" applyAlignment="1"/>
    <xf numFmtId="0" fontId="23" fillId="0" borderId="17" xfId="0" applyFont="1" applyFill="1" applyBorder="1" applyAlignment="1"/>
    <xf numFmtId="4" fontId="23" fillId="0" borderId="17" xfId="0" applyNumberFormat="1" applyFont="1" applyFill="1" applyBorder="1" applyAlignment="1"/>
    <xf numFmtId="0" fontId="23" fillId="0" borderId="17" xfId="0" applyFont="1" applyFill="1" applyBorder="1" applyAlignment="1">
      <alignment wrapText="1"/>
    </xf>
    <xf numFmtId="0" fontId="22" fillId="0" borderId="54" xfId="0" applyFont="1" applyFill="1" applyBorder="1"/>
    <xf numFmtId="0" fontId="23" fillId="0" borderId="26" xfId="0" applyFont="1" applyFill="1" applyBorder="1" applyAlignment="1">
      <alignment horizontal="center"/>
    </xf>
    <xf numFmtId="4" fontId="23" fillId="0" borderId="26" xfId="0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right"/>
    </xf>
    <xf numFmtId="43" fontId="23" fillId="0" borderId="33" xfId="1" applyFont="1" applyFill="1" applyBorder="1" applyAlignment="1"/>
    <xf numFmtId="0" fontId="23" fillId="0" borderId="4" xfId="0" applyFont="1" applyFill="1" applyBorder="1"/>
    <xf numFmtId="4" fontId="23" fillId="0" borderId="50" xfId="0" applyNumberFormat="1" applyFont="1" applyFill="1" applyBorder="1"/>
    <xf numFmtId="0" fontId="23" fillId="0" borderId="10" xfId="0" applyFont="1" applyFill="1" applyBorder="1"/>
    <xf numFmtId="0" fontId="23" fillId="0" borderId="35" xfId="0" applyFont="1" applyFill="1" applyBorder="1" applyAlignment="1">
      <alignment horizontal="left" wrapText="1"/>
    </xf>
    <xf numFmtId="4" fontId="23" fillId="0" borderId="38" xfId="0" applyNumberFormat="1" applyFont="1" applyFill="1" applyBorder="1" applyAlignment="1">
      <alignment horizontal="center"/>
    </xf>
    <xf numFmtId="0" fontId="36" fillId="0" borderId="53" xfId="0" applyFont="1" applyFill="1" applyBorder="1"/>
    <xf numFmtId="0" fontId="36" fillId="0" borderId="20" xfId="0" applyFont="1" applyFill="1" applyBorder="1" applyAlignment="1">
      <alignment horizontal="center" wrapText="1"/>
    </xf>
    <xf numFmtId="0" fontId="36" fillId="0" borderId="22" xfId="0" applyFont="1" applyFill="1" applyBorder="1" applyAlignment="1">
      <alignment horizontal="center"/>
    </xf>
    <xf numFmtId="43" fontId="23" fillId="0" borderId="11" xfId="1" applyFont="1" applyFill="1" applyBorder="1" applyAlignment="1">
      <alignment horizontal="center"/>
    </xf>
    <xf numFmtId="43" fontId="23" fillId="0" borderId="14" xfId="1" applyFont="1" applyFill="1" applyBorder="1" applyAlignment="1">
      <alignment horizontal="center"/>
    </xf>
    <xf numFmtId="4" fontId="23" fillId="0" borderId="14" xfId="0" applyNumberFormat="1" applyFont="1" applyFill="1" applyBorder="1" applyAlignment="1">
      <alignment horizontal="center"/>
    </xf>
    <xf numFmtId="43" fontId="23" fillId="0" borderId="29" xfId="1" applyFont="1" applyFill="1" applyBorder="1" applyAlignment="1">
      <alignment horizontal="center"/>
    </xf>
    <xf numFmtId="168" fontId="23" fillId="0" borderId="11" xfId="1" applyNumberFormat="1" applyFont="1" applyFill="1" applyBorder="1" applyAlignment="1">
      <alignment horizontal="center"/>
    </xf>
    <xf numFmtId="4" fontId="23" fillId="0" borderId="12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right"/>
    </xf>
    <xf numFmtId="0" fontId="23" fillId="0" borderId="0" xfId="0" applyFont="1" applyFill="1" applyAlignment="1">
      <alignment wrapText="1"/>
    </xf>
    <xf numFmtId="0" fontId="35" fillId="0" borderId="0" xfId="0" applyFont="1" applyFill="1" applyAlignment="1">
      <alignment horizontal="center"/>
    </xf>
    <xf numFmtId="0" fontId="36" fillId="0" borderId="0" xfId="0" applyFont="1" applyFill="1"/>
    <xf numFmtId="0" fontId="30" fillId="0" borderId="0" xfId="0" applyFont="1" applyFill="1"/>
    <xf numFmtId="0" fontId="23" fillId="0" borderId="14" xfId="0" applyFont="1" applyFill="1" applyBorder="1" applyAlignment="1">
      <alignment horizontal="left" wrapText="1"/>
    </xf>
    <xf numFmtId="43" fontId="23" fillId="0" borderId="32" xfId="1" applyFont="1" applyFill="1" applyBorder="1" applyAlignment="1">
      <alignment horizontal="center"/>
    </xf>
    <xf numFmtId="0" fontId="22" fillId="0" borderId="23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43" fontId="23" fillId="0" borderId="8" xfId="1" applyFont="1" applyFill="1" applyBorder="1" applyAlignment="1">
      <alignment wrapText="1"/>
    </xf>
    <xf numFmtId="0" fontId="22" fillId="0" borderId="21" xfId="0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3" fillId="8" borderId="48" xfId="0" applyFont="1" applyFill="1" applyBorder="1" applyAlignment="1">
      <alignment horizontal="center"/>
    </xf>
    <xf numFmtId="0" fontId="23" fillId="0" borderId="0" xfId="0" applyFont="1" applyFill="1" applyAlignment="1">
      <alignment wrapText="1"/>
    </xf>
    <xf numFmtId="0" fontId="35" fillId="0" borderId="0" xfId="0" applyFont="1" applyFill="1" applyAlignment="1">
      <alignment horizontal="center"/>
    </xf>
    <xf numFmtId="0" fontId="36" fillId="0" borderId="0" xfId="0" applyFont="1" applyFill="1"/>
    <xf numFmtId="0" fontId="30" fillId="0" borderId="0" xfId="0" applyFont="1" applyFill="1"/>
    <xf numFmtId="43" fontId="23" fillId="0" borderId="15" xfId="1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wrapText="1"/>
    </xf>
    <xf numFmtId="43" fontId="22" fillId="0" borderId="14" xfId="1" applyFont="1" applyFill="1" applyBorder="1" applyAlignment="1">
      <alignment horizontal="center"/>
    </xf>
    <xf numFmtId="43" fontId="23" fillId="0" borderId="32" xfId="1" applyFont="1" applyFill="1" applyBorder="1" applyAlignment="1">
      <alignment horizontal="center"/>
    </xf>
    <xf numFmtId="0" fontId="22" fillId="0" borderId="17" xfId="0" applyFont="1" applyFill="1" applyBorder="1" applyAlignment="1">
      <alignment horizontal="right"/>
    </xf>
    <xf numFmtId="0" fontId="22" fillId="0" borderId="23" xfId="0" applyFont="1" applyFill="1" applyBorder="1" applyAlignment="1">
      <alignment horizontal="right"/>
    </xf>
    <xf numFmtId="4" fontId="23" fillId="0" borderId="14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right"/>
    </xf>
    <xf numFmtId="4" fontId="23" fillId="0" borderId="18" xfId="0" applyNumberFormat="1" applyFont="1" applyFill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4" fontId="23" fillId="0" borderId="12" xfId="0" applyNumberFormat="1" applyFont="1" applyFill="1" applyBorder="1" applyAlignment="1">
      <alignment horizontal="center"/>
    </xf>
    <xf numFmtId="4" fontId="22" fillId="0" borderId="14" xfId="0" applyNumberFormat="1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22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center"/>
    </xf>
    <xf numFmtId="0" fontId="36" fillId="0" borderId="20" xfId="0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/>
    </xf>
    <xf numFmtId="0" fontId="36" fillId="0" borderId="24" xfId="0" applyFont="1" applyFill="1" applyBorder="1" applyAlignment="1">
      <alignment horizontal="center"/>
    </xf>
    <xf numFmtId="4" fontId="22" fillId="0" borderId="17" xfId="0" applyNumberFormat="1" applyFont="1" applyFill="1" applyBorder="1" applyAlignment="1">
      <alignment horizontal="center"/>
    </xf>
    <xf numFmtId="4" fontId="22" fillId="0" borderId="11" xfId="0" applyNumberFormat="1" applyFont="1" applyFill="1" applyBorder="1" applyAlignment="1">
      <alignment horizontal="center"/>
    </xf>
    <xf numFmtId="168" fontId="23" fillId="0" borderId="17" xfId="1" applyNumberFormat="1" applyFont="1" applyFill="1" applyBorder="1" applyAlignment="1">
      <alignment horizontal="center"/>
    </xf>
    <xf numFmtId="168" fontId="23" fillId="0" borderId="11" xfId="1" applyNumberFormat="1" applyFont="1" applyFill="1" applyBorder="1" applyAlignment="1">
      <alignment horizontal="center"/>
    </xf>
    <xf numFmtId="4" fontId="23" fillId="0" borderId="16" xfId="0" applyNumberFormat="1" applyFont="1" applyFill="1" applyBorder="1" applyAlignment="1">
      <alignment horizontal="center"/>
    </xf>
    <xf numFmtId="4" fontId="23" fillId="0" borderId="10" xfId="0" applyNumberFormat="1" applyFont="1" applyFill="1" applyBorder="1" applyAlignment="1">
      <alignment horizontal="center"/>
    </xf>
    <xf numFmtId="0" fontId="23" fillId="0" borderId="17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wrapText="1"/>
    </xf>
    <xf numFmtId="43" fontId="23" fillId="0" borderId="17" xfId="1" applyFont="1" applyFill="1" applyBorder="1" applyAlignment="1">
      <alignment horizontal="center"/>
    </xf>
    <xf numFmtId="43" fontId="23" fillId="0" borderId="11" xfId="1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43" fontId="22" fillId="0" borderId="5" xfId="1" applyFont="1" applyFill="1" applyBorder="1" applyAlignment="1">
      <alignment horizontal="center"/>
    </xf>
    <xf numFmtId="43" fontId="23" fillId="0" borderId="64" xfId="1" applyFont="1" applyFill="1" applyBorder="1" applyAlignment="1">
      <alignment horizontal="center"/>
    </xf>
    <xf numFmtId="43" fontId="23" fillId="0" borderId="29" xfId="1" applyFont="1" applyFill="1" applyBorder="1" applyAlignment="1">
      <alignment horizontal="center"/>
    </xf>
    <xf numFmtId="0" fontId="36" fillId="0" borderId="20" xfId="0" applyFont="1" applyFill="1" applyBorder="1" applyAlignment="1">
      <alignment horizontal="center" wrapText="1"/>
    </xf>
    <xf numFmtId="0" fontId="36" fillId="0" borderId="22" xfId="0" applyFont="1" applyFill="1" applyBorder="1" applyAlignment="1">
      <alignment horizontal="center" wrapText="1"/>
    </xf>
    <xf numFmtId="0" fontId="36" fillId="0" borderId="24" xfId="0" applyFont="1" applyFill="1" applyBorder="1" applyAlignment="1">
      <alignment horizontal="center" wrapText="1"/>
    </xf>
    <xf numFmtId="0" fontId="22" fillId="0" borderId="20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left"/>
    </xf>
    <xf numFmtId="0" fontId="22" fillId="0" borderId="22" xfId="0" applyFont="1" applyFill="1" applyBorder="1" applyAlignment="1">
      <alignment horizontal="left"/>
    </xf>
    <xf numFmtId="0" fontId="22" fillId="0" borderId="24" xfId="0" applyFont="1" applyFill="1" applyBorder="1" applyAlignment="1">
      <alignment horizontal="left"/>
    </xf>
    <xf numFmtId="43" fontId="23" fillId="0" borderId="34" xfId="1" applyFont="1" applyFill="1" applyBorder="1" applyAlignment="1">
      <alignment horizontal="center"/>
    </xf>
    <xf numFmtId="43" fontId="23" fillId="0" borderId="25" xfId="1" applyFont="1" applyFill="1" applyBorder="1" applyAlignment="1">
      <alignment horizontal="center"/>
    </xf>
    <xf numFmtId="0" fontId="36" fillId="0" borderId="20" xfId="0" applyFont="1" applyFill="1" applyBorder="1" applyAlignment="1">
      <alignment horizontal="left"/>
    </xf>
    <xf numFmtId="0" fontId="36" fillId="0" borderId="22" xfId="0" applyFont="1" applyFill="1" applyBorder="1" applyAlignment="1">
      <alignment horizontal="left"/>
    </xf>
    <xf numFmtId="0" fontId="36" fillId="0" borderId="24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center" wrapText="1"/>
    </xf>
    <xf numFmtId="0" fontId="23" fillId="0" borderId="14" xfId="0" applyFont="1" applyFill="1" applyBorder="1" applyAlignment="1">
      <alignment horizontal="center" wrapText="1"/>
    </xf>
    <xf numFmtId="43" fontId="23" fillId="0" borderId="23" xfId="1" applyFont="1" applyFill="1" applyBorder="1" applyAlignment="1">
      <alignment horizontal="center"/>
    </xf>
    <xf numFmtId="4" fontId="23" fillId="0" borderId="2" xfId="0" applyNumberFormat="1" applyFont="1" applyFill="1" applyBorder="1" applyAlignment="1">
      <alignment horizontal="center"/>
    </xf>
    <xf numFmtId="4" fontId="23" fillId="0" borderId="11" xfId="0" applyNumberFormat="1" applyFont="1" applyFill="1" applyBorder="1" applyAlignment="1">
      <alignment horizontal="center"/>
    </xf>
    <xf numFmtId="43" fontId="23" fillId="0" borderId="14" xfId="1" applyFont="1" applyFill="1" applyBorder="1" applyAlignment="1">
      <alignment horizontal="center"/>
    </xf>
    <xf numFmtId="4" fontId="22" fillId="0" borderId="23" xfId="0" applyNumberFormat="1" applyFont="1" applyFill="1" applyBorder="1" applyAlignment="1">
      <alignment horizontal="center"/>
    </xf>
    <xf numFmtId="4" fontId="23" fillId="0" borderId="23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38" fillId="0" borderId="17" xfId="0" applyNumberFormat="1" applyFont="1" applyFill="1" applyBorder="1" applyAlignment="1">
      <alignment horizontal="center" vertical="center" wrapText="1"/>
    </xf>
    <xf numFmtId="4" fontId="38" fillId="0" borderId="23" xfId="0" applyNumberFormat="1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30" fillId="0" borderId="63" xfId="0" applyFont="1" applyFill="1" applyBorder="1" applyAlignment="1">
      <alignment horizontal="center" vertical="center"/>
    </xf>
    <xf numFmtId="0" fontId="30" fillId="0" borderId="64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/>
    </xf>
    <xf numFmtId="0" fontId="29" fillId="0" borderId="66" xfId="0" applyFont="1" applyFill="1" applyBorder="1" applyAlignment="1">
      <alignment horizontal="center"/>
    </xf>
    <xf numFmtId="0" fontId="29" fillId="0" borderId="73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left" wrapText="1"/>
    </xf>
    <xf numFmtId="0" fontId="31" fillId="0" borderId="22" xfId="0" applyFont="1" applyFill="1" applyBorder="1" applyAlignment="1">
      <alignment horizontal="left" wrapText="1"/>
    </xf>
    <xf numFmtId="0" fontId="31" fillId="0" borderId="24" xfId="0" applyFont="1" applyFill="1" applyBorder="1" applyAlignment="1">
      <alignment horizontal="left" wrapText="1"/>
    </xf>
    <xf numFmtId="0" fontId="31" fillId="0" borderId="53" xfId="0" applyFont="1" applyFill="1" applyBorder="1" applyAlignment="1">
      <alignment horizontal="left" wrapText="1"/>
    </xf>
    <xf numFmtId="0" fontId="31" fillId="0" borderId="52" xfId="0" applyFont="1" applyFill="1" applyBorder="1" applyAlignment="1">
      <alignment horizontal="left" wrapText="1"/>
    </xf>
    <xf numFmtId="0" fontId="31" fillId="0" borderId="54" xfId="0" applyFont="1" applyFill="1" applyBorder="1" applyAlignment="1">
      <alignment horizontal="left" wrapText="1"/>
    </xf>
    <xf numFmtId="4" fontId="29" fillId="0" borderId="59" xfId="0" applyNumberFormat="1" applyFont="1" applyFill="1" applyBorder="1" applyAlignment="1">
      <alignment horizontal="center" vertical="center" wrapText="1"/>
    </xf>
    <xf numFmtId="9" fontId="30" fillId="0" borderId="26" xfId="10" applyFont="1" applyFill="1" applyBorder="1" applyAlignment="1">
      <alignment horizontal="center" vertical="center"/>
    </xf>
    <xf numFmtId="43" fontId="29" fillId="0" borderId="69" xfId="1" applyFont="1" applyFill="1" applyBorder="1" applyAlignment="1">
      <alignment horizontal="center" vertical="center"/>
    </xf>
    <xf numFmtId="43" fontId="29" fillId="0" borderId="22" xfId="1" applyFont="1" applyFill="1" applyBorder="1" applyAlignment="1">
      <alignment horizontal="center" vertical="center"/>
    </xf>
    <xf numFmtId="43" fontId="29" fillId="0" borderId="71" xfId="1" applyFont="1" applyFill="1" applyBorder="1" applyAlignment="1">
      <alignment horizontal="center" vertical="center"/>
    </xf>
    <xf numFmtId="9" fontId="30" fillId="0" borderId="28" xfId="10" applyFont="1" applyFill="1" applyBorder="1" applyAlignment="1">
      <alignment horizontal="center" vertical="center"/>
    </xf>
    <xf numFmtId="9" fontId="30" fillId="0" borderId="15" xfId="10" applyFont="1" applyFill="1" applyBorder="1" applyAlignment="1">
      <alignment horizontal="center" vertical="center"/>
    </xf>
    <xf numFmtId="9" fontId="30" fillId="0" borderId="29" xfId="1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20" xfId="0" applyFont="1" applyFill="1" applyBorder="1" applyAlignment="1">
      <alignment horizontal="center" wrapText="1"/>
    </xf>
    <xf numFmtId="0" fontId="29" fillId="0" borderId="24" xfId="0" applyFont="1" applyFill="1" applyBorder="1" applyAlignment="1">
      <alignment horizontal="center" wrapText="1"/>
    </xf>
    <xf numFmtId="43" fontId="29" fillId="0" borderId="69" xfId="0" applyNumberFormat="1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29" fillId="0" borderId="71" xfId="0" applyFont="1" applyFill="1" applyBorder="1" applyAlignment="1">
      <alignment horizontal="center"/>
    </xf>
    <xf numFmtId="0" fontId="30" fillId="0" borderId="49" xfId="0" applyFont="1" applyFill="1" applyBorder="1" applyAlignment="1">
      <alignment horizontal="center"/>
    </xf>
    <xf numFmtId="0" fontId="30" fillId="0" borderId="58" xfId="0" applyFont="1" applyFill="1" applyBorder="1" applyAlignment="1">
      <alignment horizontal="center"/>
    </xf>
    <xf numFmtId="43" fontId="30" fillId="0" borderId="58" xfId="1" applyFont="1" applyFill="1" applyBorder="1" applyAlignment="1">
      <alignment horizontal="center"/>
    </xf>
    <xf numFmtId="0" fontId="30" fillId="0" borderId="55" xfId="0" applyFont="1" applyFill="1" applyBorder="1" applyAlignment="1">
      <alignment horizontal="center"/>
    </xf>
    <xf numFmtId="0" fontId="30" fillId="0" borderId="59" xfId="0" applyFont="1" applyFill="1" applyBorder="1" applyAlignment="1">
      <alignment horizontal="center"/>
    </xf>
    <xf numFmtId="43" fontId="30" fillId="0" borderId="59" xfId="1" applyFont="1" applyFill="1" applyBorder="1" applyAlignment="1">
      <alignment horizontal="center"/>
    </xf>
    <xf numFmtId="43" fontId="30" fillId="0" borderId="27" xfId="1" applyFont="1" applyFill="1" applyBorder="1" applyAlignment="1">
      <alignment horizontal="center"/>
    </xf>
    <xf numFmtId="0" fontId="29" fillId="0" borderId="61" xfId="0" applyFont="1" applyFill="1" applyBorder="1" applyAlignment="1">
      <alignment horizontal="center" vertical="center"/>
    </xf>
    <xf numFmtId="43" fontId="30" fillId="0" borderId="30" xfId="1" applyFont="1" applyFill="1" applyBorder="1" applyAlignment="1">
      <alignment horizontal="center"/>
    </xf>
    <xf numFmtId="43" fontId="30" fillId="0" borderId="26" xfId="1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43" fontId="29" fillId="0" borderId="61" xfId="0" applyNumberFormat="1" applyFont="1" applyFill="1" applyBorder="1" applyAlignment="1">
      <alignment horizontal="center"/>
    </xf>
    <xf numFmtId="0" fontId="29" fillId="0" borderId="61" xfId="0" applyFont="1" applyFill="1" applyBorder="1" applyAlignment="1">
      <alignment horizontal="center"/>
    </xf>
    <xf numFmtId="0" fontId="30" fillId="0" borderId="39" xfId="0" applyFont="1" applyFill="1" applyBorder="1" applyAlignment="1">
      <alignment horizontal="center"/>
    </xf>
    <xf numFmtId="0" fontId="30" fillId="0" borderId="40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4" fontId="30" fillId="0" borderId="43" xfId="0" applyNumberFormat="1" applyFont="1" applyFill="1" applyBorder="1" applyAlignment="1">
      <alignment horizontal="center" vertical="center" wrapText="1"/>
    </xf>
    <xf numFmtId="4" fontId="30" fillId="0" borderId="44" xfId="0" applyNumberFormat="1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/>
    </xf>
    <xf numFmtId="0" fontId="30" fillId="0" borderId="38" xfId="0" applyFont="1" applyFill="1" applyBorder="1" applyAlignment="1">
      <alignment horizontal="center"/>
    </xf>
    <xf numFmtId="0" fontId="39" fillId="0" borderId="36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29" fillId="0" borderId="59" xfId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4" fontId="29" fillId="0" borderId="69" xfId="0" applyNumberFormat="1" applyFont="1" applyFill="1" applyBorder="1" applyAlignment="1">
      <alignment horizontal="center" vertical="center" wrapText="1"/>
    </xf>
    <xf numFmtId="4" fontId="29" fillId="0" borderId="22" xfId="0" applyNumberFormat="1" applyFont="1" applyFill="1" applyBorder="1" applyAlignment="1">
      <alignment horizontal="center" vertical="center" wrapText="1"/>
    </xf>
    <xf numFmtId="4" fontId="29" fillId="0" borderId="71" xfId="0" applyNumberFormat="1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/>
    </xf>
    <xf numFmtId="0" fontId="29" fillId="0" borderId="62" xfId="0" applyFont="1" applyFill="1" applyBorder="1" applyAlignment="1">
      <alignment horizontal="center"/>
    </xf>
    <xf numFmtId="9" fontId="30" fillId="0" borderId="58" xfId="10" applyFont="1" applyFill="1" applyBorder="1" applyAlignment="1">
      <alignment horizontal="center" vertical="center"/>
    </xf>
    <xf numFmtId="169" fontId="30" fillId="0" borderId="26" xfId="1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9" fontId="30" fillId="0" borderId="62" xfId="10" applyFont="1" applyFill="1" applyBorder="1" applyAlignment="1">
      <alignment horizontal="center" vertical="center"/>
    </xf>
    <xf numFmtId="9" fontId="30" fillId="0" borderId="6" xfId="10" applyFont="1" applyFill="1" applyBorder="1" applyAlignment="1">
      <alignment horizontal="center" vertical="center"/>
    </xf>
    <xf numFmtId="9" fontId="30" fillId="0" borderId="70" xfId="10" applyFont="1" applyFill="1" applyBorder="1" applyAlignment="1">
      <alignment horizontal="center" vertical="center"/>
    </xf>
    <xf numFmtId="4" fontId="30" fillId="0" borderId="40" xfId="0" applyNumberFormat="1" applyFont="1" applyFill="1" applyBorder="1" applyAlignment="1">
      <alignment horizontal="center" vertical="center"/>
    </xf>
    <xf numFmtId="4" fontId="30" fillId="0" borderId="67" xfId="0" applyNumberFormat="1" applyFont="1" applyFill="1" applyBorder="1" applyAlignment="1">
      <alignment horizontal="center" vertical="center"/>
    </xf>
    <xf numFmtId="9" fontId="39" fillId="0" borderId="57" xfId="10" applyFont="1" applyFill="1" applyBorder="1" applyAlignment="1">
      <alignment horizontal="center" vertical="center" wrapText="1"/>
    </xf>
    <xf numFmtId="9" fontId="39" fillId="0" borderId="18" xfId="10" applyFont="1" applyFill="1" applyBorder="1" applyAlignment="1">
      <alignment horizontal="center" vertical="center" wrapText="1"/>
    </xf>
    <xf numFmtId="9" fontId="39" fillId="0" borderId="63" xfId="10" applyFont="1" applyFill="1" applyBorder="1" applyAlignment="1">
      <alignment horizontal="center" vertical="center" wrapText="1"/>
    </xf>
    <xf numFmtId="9" fontId="39" fillId="0" borderId="27" xfId="1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wrapText="1"/>
    </xf>
    <xf numFmtId="164" fontId="11" fillId="0" borderId="26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26" xfId="0" applyBorder="1" applyAlignment="1">
      <alignment horizontal="left" wrapText="1"/>
    </xf>
    <xf numFmtId="164" fontId="0" fillId="0" borderId="26" xfId="0" applyNumberFormat="1" applyBorder="1" applyAlignment="1">
      <alignment horizontal="center"/>
    </xf>
    <xf numFmtId="166" fontId="2" fillId="0" borderId="28" xfId="3" applyFont="1" applyBorder="1" applyAlignment="1">
      <alignment horizontal="center"/>
    </xf>
    <xf numFmtId="166" fontId="2" fillId="0" borderId="15" xfId="3" applyFont="1" applyBorder="1" applyAlignment="1">
      <alignment horizontal="center"/>
    </xf>
    <xf numFmtId="166" fontId="2" fillId="0" borderId="29" xfId="3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19" fillId="0" borderId="2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166" fontId="19" fillId="0" borderId="26" xfId="3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164" fontId="0" fillId="0" borderId="27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6" fontId="2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168" fontId="29" fillId="0" borderId="26" xfId="0" applyNumberFormat="1" applyFont="1" applyFill="1" applyBorder="1"/>
    <xf numFmtId="0" fontId="37" fillId="0" borderId="26" xfId="0" applyFont="1" applyFill="1" applyBorder="1"/>
    <xf numFmtId="168" fontId="24" fillId="0" borderId="26" xfId="0" applyNumberFormat="1" applyFont="1" applyFill="1" applyBorder="1"/>
  </cellXfs>
  <cellStyles count="11">
    <cellStyle name="Обычный" xfId="0" builtinId="0"/>
    <cellStyle name="Обычный 2" xfId="5" xr:uid="{00000000-0005-0000-0000-000001000000}"/>
    <cellStyle name="Обычный 3" xfId="2" xr:uid="{00000000-0005-0000-0000-000002000000}"/>
    <cellStyle name="Процентный" xfId="10" builtinId="5"/>
    <cellStyle name="Процентный 2" xfId="7" xr:uid="{00000000-0005-0000-0000-000003000000}"/>
    <cellStyle name="Процентный 3" xfId="4" xr:uid="{00000000-0005-0000-0000-000004000000}"/>
    <cellStyle name="Финансовый" xfId="1" builtinId="3"/>
    <cellStyle name="Финансовый 2" xfId="6" xr:uid="{00000000-0005-0000-0000-000006000000}"/>
    <cellStyle name="Финансовый 2 2" xfId="9" xr:uid="{00000000-0005-0000-0000-000007000000}"/>
    <cellStyle name="Финансовый 3" xfId="3" xr:uid="{00000000-0005-0000-0000-000008000000}"/>
    <cellStyle name="Финансовый 4" xfId="8" xr:uid="{00000000-0005-0000-0000-000009000000}"/>
  </cellStyles>
  <dxfs count="0"/>
  <tableStyles count="0" defaultTableStyle="TableStyleMedium2" defaultPivotStyle="PivotStyleLight16"/>
  <colors>
    <mruColors>
      <color rgb="FFCC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7"/>
  <sheetViews>
    <sheetView zoomScale="73" zoomScaleNormal="73" workbookViewId="0">
      <pane ySplit="1" topLeftCell="A46" activePane="bottomLeft" state="frozen"/>
      <selection pane="bottomLeft" activeCell="J57" sqref="J57"/>
    </sheetView>
  </sheetViews>
  <sheetFormatPr defaultColWidth="8.85546875" defaultRowHeight="18.75" outlineLevelRow="1" outlineLevelCol="1" x14ac:dyDescent="0.3"/>
  <cols>
    <col min="1" max="1" width="9" style="2" bestFit="1" customWidth="1"/>
    <col min="2" max="2" width="35.140625" style="2" customWidth="1"/>
    <col min="3" max="3" width="12.140625" style="2" customWidth="1"/>
    <col min="4" max="4" width="13.85546875" style="2" bestFit="1" customWidth="1"/>
    <col min="5" max="5" width="18.140625" style="2" customWidth="1"/>
    <col min="6" max="7" width="18.140625" style="2" hidden="1" customWidth="1" outlineLevel="1"/>
    <col min="8" max="8" width="19.42578125" style="2" hidden="1" customWidth="1" outlineLevel="1"/>
    <col min="9" max="9" width="6.140625" style="2" customWidth="1" collapsed="1"/>
    <col min="10" max="10" width="45.85546875" style="2" customWidth="1"/>
    <col min="11" max="11" width="19.42578125" style="44" bestFit="1" customWidth="1"/>
    <col min="12" max="12" width="18.42578125" style="101" hidden="1" customWidth="1" outlineLevel="1"/>
    <col min="13" max="13" width="17.42578125" style="44" hidden="1" customWidth="1" outlineLevel="1"/>
    <col min="14" max="14" width="50.140625" style="2" hidden="1" customWidth="1" outlineLevel="1"/>
    <col min="15" max="15" width="8.85546875" style="2" collapsed="1"/>
    <col min="16" max="16384" width="8.85546875" style="2"/>
  </cols>
  <sheetData>
    <row r="1" spans="1:13" x14ac:dyDescent="0.3">
      <c r="J1" s="3" t="s">
        <v>161</v>
      </c>
      <c r="K1" s="43"/>
    </row>
    <row r="2" spans="1:13" x14ac:dyDescent="0.3">
      <c r="J2" s="3"/>
      <c r="K2" s="43"/>
    </row>
    <row r="3" spans="1:13" x14ac:dyDescent="0.3">
      <c r="J3" s="3" t="s">
        <v>115</v>
      </c>
      <c r="K3" s="43"/>
    </row>
    <row r="4" spans="1:13" x14ac:dyDescent="0.3">
      <c r="J4" s="3" t="s">
        <v>0</v>
      </c>
      <c r="K4" s="43"/>
    </row>
    <row r="5" spans="1:13" x14ac:dyDescent="0.3">
      <c r="J5" s="3"/>
      <c r="K5" s="43"/>
    </row>
    <row r="6" spans="1:13" ht="23.25" x14ac:dyDescent="0.35">
      <c r="A6" s="689" t="s">
        <v>163</v>
      </c>
      <c r="B6" s="689"/>
      <c r="C6" s="689"/>
      <c r="D6" s="689"/>
      <c r="E6" s="689"/>
      <c r="F6" s="689"/>
      <c r="G6" s="689"/>
      <c r="H6" s="689"/>
      <c r="I6" s="689"/>
      <c r="J6" s="689"/>
      <c r="K6" s="689"/>
    </row>
    <row r="7" spans="1:13" ht="10.15" customHeight="1" x14ac:dyDescent="0.35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</row>
    <row r="8" spans="1:13" ht="21" x14ac:dyDescent="0.35">
      <c r="A8" s="281" t="s">
        <v>160</v>
      </c>
      <c r="B8" s="4"/>
      <c r="C8" s="4"/>
      <c r="D8" s="4"/>
      <c r="F8" s="5"/>
      <c r="G8" s="5"/>
      <c r="H8" s="5"/>
      <c r="I8" s="5"/>
      <c r="J8" s="5"/>
    </row>
    <row r="9" spans="1:13" ht="16.899999999999999" customHeight="1" thickBot="1" x14ac:dyDescent="0.35">
      <c r="K9" s="280">
        <v>45316</v>
      </c>
    </row>
    <row r="10" spans="1:13" ht="19.5" thickBot="1" x14ac:dyDescent="0.35">
      <c r="A10" s="6"/>
      <c r="B10" s="7" t="s">
        <v>1</v>
      </c>
      <c r="C10" s="690" t="s">
        <v>116</v>
      </c>
      <c r="D10" s="691"/>
      <c r="E10" s="691"/>
      <c r="F10" s="692" t="s">
        <v>122</v>
      </c>
      <c r="G10" s="693"/>
      <c r="H10" s="146" t="s">
        <v>129</v>
      </c>
      <c r="I10" s="120"/>
      <c r="J10" s="8" t="s">
        <v>2</v>
      </c>
      <c r="K10" s="104" t="s">
        <v>116</v>
      </c>
      <c r="L10" s="233" t="s">
        <v>122</v>
      </c>
      <c r="M10" s="193" t="s">
        <v>123</v>
      </c>
    </row>
    <row r="11" spans="1:13" s="33" customFormat="1" ht="38.25" thickBot="1" x14ac:dyDescent="0.35">
      <c r="A11" s="31" t="s">
        <v>3</v>
      </c>
      <c r="B11" s="251" t="s">
        <v>4</v>
      </c>
      <c r="C11" s="32" t="s">
        <v>50</v>
      </c>
      <c r="D11" s="32" t="s">
        <v>51</v>
      </c>
      <c r="E11" s="45">
        <f>E13</f>
        <v>2684161.2000000002</v>
      </c>
      <c r="F11" s="165" t="s">
        <v>118</v>
      </c>
      <c r="G11" s="166">
        <f>G13</f>
        <v>2684161.2000000002</v>
      </c>
      <c r="H11" s="165">
        <f>H13</f>
        <v>2694141.65</v>
      </c>
      <c r="I11" s="121" t="s">
        <v>3</v>
      </c>
      <c r="J11" s="52" t="s">
        <v>5</v>
      </c>
      <c r="K11" s="45">
        <f>K13+K14+K15+K25+K26+K28+K29+K31+K33</f>
        <v>2684161.2000000002</v>
      </c>
      <c r="L11" s="234">
        <f>SUM(L13:L33)</f>
        <v>2684161.2000000002</v>
      </c>
      <c r="M11" s="194">
        <f>SUM(M13:M33)</f>
        <v>2590070.87</v>
      </c>
    </row>
    <row r="12" spans="1:13" ht="19.5" thickBot="1" x14ac:dyDescent="0.35">
      <c r="A12" s="9"/>
      <c r="B12" s="9"/>
      <c r="C12" s="10"/>
      <c r="D12" s="10"/>
      <c r="E12" s="10"/>
      <c r="F12" s="168"/>
      <c r="G12" s="168"/>
      <c r="H12" s="164"/>
      <c r="I12" s="122"/>
      <c r="J12" s="11"/>
      <c r="K12" s="46"/>
      <c r="L12" s="235"/>
      <c r="M12" s="195"/>
    </row>
    <row r="13" spans="1:13" ht="75.75" thickBot="1" x14ac:dyDescent="0.35">
      <c r="A13" s="12">
        <v>1</v>
      </c>
      <c r="B13" s="252" t="s">
        <v>52</v>
      </c>
      <c r="C13" s="228">
        <v>9.8000000000000007</v>
      </c>
      <c r="D13" s="228">
        <v>22824.5</v>
      </c>
      <c r="E13" s="213">
        <f>C13*D13*12</f>
        <v>2684161.2000000002</v>
      </c>
      <c r="F13" s="167">
        <v>9.8000000000000007</v>
      </c>
      <c r="G13" s="169">
        <v>2684161.2000000002</v>
      </c>
      <c r="H13" s="173">
        <v>2694141.65</v>
      </c>
      <c r="I13" s="23">
        <v>1</v>
      </c>
      <c r="J13" s="196" t="s">
        <v>6</v>
      </c>
      <c r="K13" s="102">
        <f>'Штатное проект'!I14</f>
        <v>1530000</v>
      </c>
      <c r="L13" s="235">
        <v>1530000</v>
      </c>
      <c r="M13" s="195">
        <v>1591270.41</v>
      </c>
    </row>
    <row r="14" spans="1:13" x14ac:dyDescent="0.3">
      <c r="A14" s="14"/>
      <c r="B14" s="253"/>
      <c r="C14" s="1"/>
      <c r="D14" s="1"/>
      <c r="E14" s="214"/>
      <c r="F14" s="130"/>
      <c r="G14" s="131"/>
      <c r="H14" s="147"/>
      <c r="I14" s="111">
        <v>2</v>
      </c>
      <c r="J14" s="26" t="s">
        <v>7</v>
      </c>
      <c r="K14" s="47">
        <f>'Штатное проект'!H36</f>
        <v>462060</v>
      </c>
      <c r="L14" s="235">
        <v>462060</v>
      </c>
      <c r="M14" s="195">
        <v>442313.68</v>
      </c>
    </row>
    <row r="15" spans="1:13" ht="22.15" customHeight="1" x14ac:dyDescent="0.3">
      <c r="A15" s="14"/>
      <c r="B15" s="253"/>
      <c r="C15" s="1"/>
      <c r="D15" s="1"/>
      <c r="E15" s="214"/>
      <c r="F15" s="130"/>
      <c r="G15" s="131"/>
      <c r="H15" s="147"/>
      <c r="I15" s="111">
        <v>3</v>
      </c>
      <c r="J15" s="204" t="s">
        <v>148</v>
      </c>
      <c r="K15" s="47">
        <f>SUM(K16:K24)</f>
        <v>165000</v>
      </c>
      <c r="L15" s="235">
        <v>165000</v>
      </c>
      <c r="M15" s="195">
        <v>127526.75</v>
      </c>
    </row>
    <row r="16" spans="1:13" x14ac:dyDescent="0.3">
      <c r="A16" s="14"/>
      <c r="B16" s="253"/>
      <c r="C16" s="1"/>
      <c r="D16" s="1"/>
      <c r="E16" s="214"/>
      <c r="F16" s="130"/>
      <c r="G16" s="131"/>
      <c r="H16" s="147"/>
      <c r="I16" s="111"/>
      <c r="J16" s="197" t="s">
        <v>139</v>
      </c>
      <c r="K16" s="205">
        <f>1500*3*4</f>
        <v>18000</v>
      </c>
      <c r="L16" s="235"/>
      <c r="M16" s="47"/>
    </row>
    <row r="17" spans="1:14" x14ac:dyDescent="0.3">
      <c r="A17" s="14"/>
      <c r="B17" s="253"/>
      <c r="C17" s="1"/>
      <c r="D17" s="1"/>
      <c r="E17" s="214"/>
      <c r="F17" s="130"/>
      <c r="G17" s="131"/>
      <c r="H17" s="147"/>
      <c r="I17" s="111"/>
      <c r="J17" s="100" t="s">
        <v>146</v>
      </c>
      <c r="K17" s="206">
        <v>20000</v>
      </c>
      <c r="L17" s="235"/>
      <c r="M17" s="47"/>
    </row>
    <row r="18" spans="1:14" x14ac:dyDescent="0.3">
      <c r="A18" s="14"/>
      <c r="B18" s="253"/>
      <c r="C18" s="1"/>
      <c r="D18" s="1"/>
      <c r="E18" s="214"/>
      <c r="F18" s="130"/>
      <c r="G18" s="131"/>
      <c r="H18" s="147"/>
      <c r="I18" s="111"/>
      <c r="J18" s="198" t="s">
        <v>143</v>
      </c>
      <c r="K18" s="205">
        <v>45000</v>
      </c>
      <c r="L18" s="235"/>
      <c r="M18" s="47"/>
    </row>
    <row r="19" spans="1:14" x14ac:dyDescent="0.3">
      <c r="A19" s="14"/>
      <c r="B19" s="253"/>
      <c r="C19" s="1"/>
      <c r="D19" s="1"/>
      <c r="E19" s="214"/>
      <c r="F19" s="130"/>
      <c r="G19" s="131"/>
      <c r="H19" s="147"/>
      <c r="I19" s="111"/>
      <c r="J19" s="198" t="s">
        <v>147</v>
      </c>
      <c r="K19" s="205">
        <v>17000</v>
      </c>
      <c r="L19" s="235"/>
      <c r="M19" s="47"/>
    </row>
    <row r="20" spans="1:14" x14ac:dyDescent="0.3">
      <c r="A20" s="14"/>
      <c r="B20" s="253"/>
      <c r="C20" s="1"/>
      <c r="D20" s="1"/>
      <c r="E20" s="214"/>
      <c r="F20" s="130"/>
      <c r="G20" s="131"/>
      <c r="H20" s="147"/>
      <c r="I20" s="111"/>
      <c r="J20" s="198" t="s">
        <v>140</v>
      </c>
      <c r="K20" s="205">
        <v>35000</v>
      </c>
      <c r="L20" s="235"/>
      <c r="M20" s="47"/>
    </row>
    <row r="21" spans="1:14" x14ac:dyDescent="0.3">
      <c r="A21" s="14"/>
      <c r="B21" s="253"/>
      <c r="C21" s="1"/>
      <c r="D21" s="1"/>
      <c r="E21" s="214"/>
      <c r="F21" s="130"/>
      <c r="G21" s="131"/>
      <c r="H21" s="147"/>
      <c r="I21" s="111"/>
      <c r="J21" s="198" t="s">
        <v>141</v>
      </c>
      <c r="K21" s="205">
        <v>12000</v>
      </c>
      <c r="L21" s="235"/>
      <c r="M21" s="47"/>
    </row>
    <row r="22" spans="1:14" x14ac:dyDescent="0.3">
      <c r="A22" s="14"/>
      <c r="B22" s="253"/>
      <c r="C22" s="1"/>
      <c r="D22" s="1"/>
      <c r="E22" s="214"/>
      <c r="F22" s="130"/>
      <c r="G22" s="131"/>
      <c r="H22" s="147"/>
      <c r="I22" s="111"/>
      <c r="J22" s="198" t="s">
        <v>142</v>
      </c>
      <c r="K22" s="205">
        <v>1500</v>
      </c>
      <c r="L22" s="235"/>
      <c r="M22" s="47"/>
    </row>
    <row r="23" spans="1:14" x14ac:dyDescent="0.3">
      <c r="A23" s="14"/>
      <c r="B23" s="253"/>
      <c r="C23" s="1"/>
      <c r="D23" s="1"/>
      <c r="E23" s="214"/>
      <c r="F23" s="130"/>
      <c r="G23" s="131"/>
      <c r="H23" s="147"/>
      <c r="I23" s="111"/>
      <c r="J23" s="198" t="s">
        <v>144</v>
      </c>
      <c r="K23" s="205">
        <v>1500</v>
      </c>
      <c r="L23" s="235"/>
      <c r="M23" s="47"/>
    </row>
    <row r="24" spans="1:14" x14ac:dyDescent="0.3">
      <c r="A24" s="14"/>
      <c r="B24" s="253"/>
      <c r="C24" s="1"/>
      <c r="D24" s="1"/>
      <c r="E24" s="214"/>
      <c r="F24" s="130"/>
      <c r="G24" s="131"/>
      <c r="H24" s="147"/>
      <c r="I24" s="111"/>
      <c r="J24" s="198" t="s">
        <v>145</v>
      </c>
      <c r="K24" s="205">
        <f>12000+3000</f>
        <v>15000</v>
      </c>
      <c r="L24" s="235"/>
      <c r="M24" s="47"/>
    </row>
    <row r="25" spans="1:14" ht="34.5" x14ac:dyDescent="0.3">
      <c r="A25" s="14"/>
      <c r="B25" s="14"/>
      <c r="C25" s="15"/>
      <c r="D25" s="15"/>
      <c r="E25" s="214"/>
      <c r="F25" s="130"/>
      <c r="G25" s="131"/>
      <c r="H25" s="147"/>
      <c r="I25" s="111">
        <v>4</v>
      </c>
      <c r="J25" s="199" t="s">
        <v>10</v>
      </c>
      <c r="K25" s="47">
        <v>10000</v>
      </c>
      <c r="L25" s="235">
        <v>20000</v>
      </c>
      <c r="M25" s="195">
        <v>2500</v>
      </c>
      <c r="N25" s="2" t="s">
        <v>157</v>
      </c>
    </row>
    <row r="26" spans="1:14" x14ac:dyDescent="0.3">
      <c r="A26" s="14"/>
      <c r="B26" s="14"/>
      <c r="C26" s="15"/>
      <c r="D26" s="15"/>
      <c r="E26" s="214"/>
      <c r="F26" s="130"/>
      <c r="G26" s="131"/>
      <c r="H26" s="147"/>
      <c r="I26" s="111">
        <v>5</v>
      </c>
      <c r="J26" s="51" t="s">
        <v>27</v>
      </c>
      <c r="K26" s="47">
        <v>30000</v>
      </c>
      <c r="L26" s="235">
        <v>20000</v>
      </c>
      <c r="M26" s="195"/>
    </row>
    <row r="27" spans="1:14" x14ac:dyDescent="0.3">
      <c r="A27" s="14"/>
      <c r="B27" s="14"/>
      <c r="C27" s="15"/>
      <c r="D27" s="15"/>
      <c r="E27" s="214"/>
      <c r="F27" s="130"/>
      <c r="G27" s="131"/>
      <c r="H27" s="147"/>
      <c r="I27" s="111">
        <v>6</v>
      </c>
      <c r="J27" s="200" t="s">
        <v>88</v>
      </c>
      <c r="K27" s="103"/>
      <c r="L27" s="235">
        <v>20000</v>
      </c>
      <c r="M27" s="195"/>
    </row>
    <row r="28" spans="1:14" x14ac:dyDescent="0.3">
      <c r="A28" s="14"/>
      <c r="B28" s="14"/>
      <c r="C28" s="15"/>
      <c r="D28" s="15"/>
      <c r="E28" s="214"/>
      <c r="F28" s="130"/>
      <c r="G28" s="131"/>
      <c r="H28" s="147"/>
      <c r="I28" s="111">
        <v>7</v>
      </c>
      <c r="J28" s="42" t="s">
        <v>8</v>
      </c>
      <c r="K28" s="47">
        <v>45000</v>
      </c>
      <c r="L28" s="235">
        <v>60000</v>
      </c>
      <c r="M28" s="195">
        <v>40691.99</v>
      </c>
    </row>
    <row r="29" spans="1:14" x14ac:dyDescent="0.3">
      <c r="A29" s="14"/>
      <c r="B29" s="14"/>
      <c r="C29" s="15"/>
      <c r="D29" s="15"/>
      <c r="E29" s="215"/>
      <c r="F29" s="132"/>
      <c r="G29" s="133"/>
      <c r="H29" s="148"/>
      <c r="I29" s="111">
        <v>8</v>
      </c>
      <c r="J29" s="42" t="s">
        <v>9</v>
      </c>
      <c r="K29" s="47">
        <v>406151</v>
      </c>
      <c r="L29" s="235">
        <v>332854.59999999998</v>
      </c>
      <c r="M29" s="195">
        <v>369229.04</v>
      </c>
      <c r="N29" s="207" t="s">
        <v>152</v>
      </c>
    </row>
    <row r="30" spans="1:14" x14ac:dyDescent="0.3">
      <c r="A30" s="17"/>
      <c r="B30" s="17"/>
      <c r="C30" s="18"/>
      <c r="D30" s="18"/>
      <c r="E30" s="216"/>
      <c r="F30" s="132"/>
      <c r="G30" s="133"/>
      <c r="H30" s="148"/>
      <c r="I30" s="111">
        <v>9</v>
      </c>
      <c r="J30" s="201" t="s">
        <v>84</v>
      </c>
      <c r="K30" s="48"/>
      <c r="L30" s="235">
        <v>40000</v>
      </c>
      <c r="M30" s="195"/>
    </row>
    <row r="31" spans="1:14" x14ac:dyDescent="0.3">
      <c r="A31" s="17"/>
      <c r="B31" s="17"/>
      <c r="C31" s="18"/>
      <c r="D31" s="18"/>
      <c r="E31" s="216"/>
      <c r="F31" s="132"/>
      <c r="G31" s="133"/>
      <c r="H31" s="148"/>
      <c r="I31" s="111">
        <v>10</v>
      </c>
      <c r="J31" s="201" t="s">
        <v>78</v>
      </c>
      <c r="K31" s="48">
        <v>8000</v>
      </c>
      <c r="L31" s="235">
        <v>8000</v>
      </c>
      <c r="M31" s="195">
        <v>6039</v>
      </c>
    </row>
    <row r="32" spans="1:14" x14ac:dyDescent="0.3">
      <c r="A32" s="17"/>
      <c r="B32" s="17"/>
      <c r="C32" s="18"/>
      <c r="D32" s="18"/>
      <c r="E32" s="216"/>
      <c r="F32" s="140"/>
      <c r="G32" s="141"/>
      <c r="H32" s="149"/>
      <c r="I32" s="113">
        <v>11</v>
      </c>
      <c r="J32" s="201" t="s">
        <v>124</v>
      </c>
      <c r="K32" s="48"/>
      <c r="L32" s="236"/>
      <c r="M32" s="195">
        <v>10500</v>
      </c>
    </row>
    <row r="33" spans="1:14" ht="19.5" thickBot="1" x14ac:dyDescent="0.35">
      <c r="A33" s="17"/>
      <c r="B33" s="17"/>
      <c r="C33" s="18"/>
      <c r="D33" s="18"/>
      <c r="E33" s="217"/>
      <c r="F33" s="134"/>
      <c r="G33" s="135"/>
      <c r="H33" s="150"/>
      <c r="I33" s="114" t="s">
        <v>12</v>
      </c>
      <c r="J33" s="202" t="s">
        <v>13</v>
      </c>
      <c r="K33" s="203">
        <f>E13-K13-K14-K15-K25-K26-K27-K28-K29-K30-K31</f>
        <v>27950.200000000186</v>
      </c>
      <c r="L33" s="237">
        <v>26246.6</v>
      </c>
      <c r="M33" s="46"/>
    </row>
    <row r="34" spans="1:14" ht="57" thickBot="1" x14ac:dyDescent="0.35">
      <c r="A34" s="124" t="s">
        <v>14</v>
      </c>
      <c r="B34" s="125" t="s">
        <v>53</v>
      </c>
      <c r="C34" s="229" t="s">
        <v>50</v>
      </c>
      <c r="D34" s="229" t="s">
        <v>51</v>
      </c>
      <c r="E34" s="218">
        <f>SUM(E36:E47)</f>
        <v>9772218.7200000007</v>
      </c>
      <c r="F34" s="136" t="s">
        <v>50</v>
      </c>
      <c r="G34" s="137">
        <f>SUM(G36:G45)</f>
        <v>8541304.5500000007</v>
      </c>
      <c r="H34" s="151">
        <v>8568668.9600000009</v>
      </c>
      <c r="I34" s="274" t="s">
        <v>14</v>
      </c>
      <c r="J34" s="125" t="s">
        <v>54</v>
      </c>
      <c r="K34" s="109">
        <f>K35+K72+K75</f>
        <v>9772218.7200000007</v>
      </c>
      <c r="L34" s="238">
        <f>L35+L72+L75</f>
        <v>8541304.5500000007</v>
      </c>
      <c r="M34" s="142">
        <f>M35+M72+M75</f>
        <v>8773292.9900000002</v>
      </c>
    </row>
    <row r="35" spans="1:14" x14ac:dyDescent="0.3">
      <c r="A35" s="123"/>
      <c r="B35" s="30"/>
      <c r="C35" s="230"/>
      <c r="D35" s="230"/>
      <c r="E35" s="219"/>
      <c r="F35" s="138"/>
      <c r="G35" s="139"/>
      <c r="H35" s="262"/>
      <c r="I35" s="276" t="s">
        <v>31</v>
      </c>
      <c r="J35" s="267" t="s">
        <v>85</v>
      </c>
      <c r="K35" s="243">
        <f>SUM(K36:K71)</f>
        <v>9058652</v>
      </c>
      <c r="L35" s="239">
        <f>SUM(L36:L64)</f>
        <v>7948726.7999999998</v>
      </c>
      <c r="M35" s="112">
        <f>SUM(M36:M71)</f>
        <v>8075868.9800000004</v>
      </c>
      <c r="N35" s="55"/>
    </row>
    <row r="36" spans="1:14" ht="37.5" x14ac:dyDescent="0.3">
      <c r="A36" s="1">
        <v>1</v>
      </c>
      <c r="B36" s="115" t="s">
        <v>89</v>
      </c>
      <c r="C36" s="195">
        <v>36</v>
      </c>
      <c r="D36" s="195">
        <v>20843.3</v>
      </c>
      <c r="E36" s="214">
        <f>C36*D36*12</f>
        <v>9004305.5999999996</v>
      </c>
      <c r="F36" s="130">
        <v>31.63</v>
      </c>
      <c r="G36" s="131">
        <v>7911282.9500000002</v>
      </c>
      <c r="H36" s="263"/>
      <c r="I36" s="277">
        <v>1</v>
      </c>
      <c r="J36" s="268" t="s">
        <v>15</v>
      </c>
      <c r="K36" s="244">
        <f>'Штатное проект'!C37+'Штатное проект'!C38</f>
        <v>4634000</v>
      </c>
      <c r="L36" s="235">
        <v>4103400</v>
      </c>
      <c r="M36" s="182">
        <v>3880630.96</v>
      </c>
    </row>
    <row r="37" spans="1:14" hidden="1" outlineLevel="1" x14ac:dyDescent="0.3">
      <c r="A37" s="1"/>
      <c r="B37" s="19"/>
      <c r="C37" s="195"/>
      <c r="D37" s="195"/>
      <c r="E37" s="214"/>
      <c r="F37" s="130"/>
      <c r="G37" s="131"/>
      <c r="H37" s="263"/>
      <c r="I37" s="277"/>
      <c r="J37" s="268" t="s">
        <v>72</v>
      </c>
      <c r="K37" s="244"/>
      <c r="L37" s="235"/>
      <c r="M37" s="182"/>
    </row>
    <row r="38" spans="1:14" hidden="1" outlineLevel="1" x14ac:dyDescent="0.3">
      <c r="A38" s="1"/>
      <c r="B38" s="19"/>
      <c r="C38" s="195"/>
      <c r="D38" s="195"/>
      <c r="E38" s="214"/>
      <c r="F38" s="130"/>
      <c r="G38" s="131"/>
      <c r="H38" s="263"/>
      <c r="I38" s="277"/>
      <c r="J38" s="268" t="s">
        <v>73</v>
      </c>
      <c r="K38" s="244"/>
      <c r="L38" s="235"/>
      <c r="M38" s="182"/>
    </row>
    <row r="39" spans="1:14" hidden="1" outlineLevel="1" x14ac:dyDescent="0.3">
      <c r="A39" s="1"/>
      <c r="B39" s="19"/>
      <c r="C39" s="195"/>
      <c r="D39" s="195"/>
      <c r="E39" s="214"/>
      <c r="F39" s="130"/>
      <c r="G39" s="131"/>
      <c r="H39" s="263"/>
      <c r="I39" s="277"/>
      <c r="J39" s="268" t="s">
        <v>74</v>
      </c>
      <c r="K39" s="244"/>
      <c r="L39" s="235"/>
      <c r="M39" s="182"/>
    </row>
    <row r="40" spans="1:14" hidden="1" outlineLevel="1" x14ac:dyDescent="0.3">
      <c r="A40" s="116"/>
      <c r="C40" s="195"/>
      <c r="D40" s="15"/>
      <c r="E40" s="15"/>
      <c r="F40" s="128"/>
      <c r="G40" s="129"/>
      <c r="H40" s="264"/>
      <c r="I40" s="277"/>
      <c r="J40" s="268" t="s">
        <v>75</v>
      </c>
      <c r="K40" s="244"/>
      <c r="L40" s="235"/>
      <c r="M40" s="182"/>
    </row>
    <row r="41" spans="1:14" hidden="1" outlineLevel="1" x14ac:dyDescent="0.3">
      <c r="A41" s="1"/>
      <c r="B41" s="19"/>
      <c r="C41" s="195"/>
      <c r="D41" s="195"/>
      <c r="E41" s="214"/>
      <c r="F41" s="130"/>
      <c r="G41" s="131"/>
      <c r="H41" s="263"/>
      <c r="I41" s="277"/>
      <c r="J41" s="268" t="s">
        <v>76</v>
      </c>
      <c r="K41" s="244"/>
      <c r="L41" s="235"/>
      <c r="M41" s="182"/>
    </row>
    <row r="42" spans="1:14" ht="18" hidden="1" customHeight="1" outlineLevel="1" x14ac:dyDescent="0.3">
      <c r="A42" s="116"/>
      <c r="C42" s="195"/>
      <c r="D42" s="15"/>
      <c r="E42" s="15"/>
      <c r="F42" s="128"/>
      <c r="G42" s="129"/>
      <c r="H42" s="264"/>
      <c r="I42" s="277"/>
      <c r="J42" s="269" t="s">
        <v>77</v>
      </c>
      <c r="K42" s="244"/>
      <c r="L42" s="235"/>
      <c r="M42" s="182"/>
    </row>
    <row r="43" spans="1:14" collapsed="1" x14ac:dyDescent="0.3">
      <c r="A43" s="15"/>
      <c r="B43" s="19"/>
      <c r="C43" s="195"/>
      <c r="D43" s="15"/>
      <c r="E43" s="214"/>
      <c r="F43" s="130"/>
      <c r="G43" s="131"/>
      <c r="H43" s="263"/>
      <c r="I43" s="277">
        <v>2</v>
      </c>
      <c r="J43" s="269" t="s">
        <v>7</v>
      </c>
      <c r="K43" s="244">
        <f>'Штатное проект'!H37+'Штатное проект'!H38</f>
        <v>1399468</v>
      </c>
      <c r="L43" s="235">
        <v>1239226.8</v>
      </c>
      <c r="M43" s="182">
        <v>1062127.71</v>
      </c>
    </row>
    <row r="44" spans="1:14" ht="56.25" x14ac:dyDescent="0.3">
      <c r="A44" s="1">
        <v>2</v>
      </c>
      <c r="B44" s="115" t="s">
        <v>79</v>
      </c>
      <c r="C44" s="195">
        <v>32.299999999999997</v>
      </c>
      <c r="D44" s="195">
        <v>255.6</v>
      </c>
      <c r="E44" s="214">
        <f>C44*D44*12</f>
        <v>99070.56</v>
      </c>
      <c r="F44" s="130">
        <v>26.5</v>
      </c>
      <c r="G44" s="131">
        <v>81280.800000000003</v>
      </c>
      <c r="H44" s="263"/>
      <c r="I44" s="25">
        <v>3</v>
      </c>
      <c r="J44" s="51" t="s">
        <v>16</v>
      </c>
      <c r="K44" s="47">
        <v>60000</v>
      </c>
      <c r="L44" s="235">
        <v>60000</v>
      </c>
      <c r="M44" s="182">
        <v>23574.85</v>
      </c>
    </row>
    <row r="45" spans="1:14" ht="56.25" x14ac:dyDescent="0.3">
      <c r="A45" s="1">
        <v>3</v>
      </c>
      <c r="B45" s="115" t="s">
        <v>80</v>
      </c>
      <c r="C45" s="195">
        <f>C44</f>
        <v>32.299999999999997</v>
      </c>
      <c r="D45" s="195">
        <v>1725.6</v>
      </c>
      <c r="E45" s="214">
        <f>C45*D45*12</f>
        <v>668842.55999999982</v>
      </c>
      <c r="F45" s="130">
        <v>26.5</v>
      </c>
      <c r="G45" s="131">
        <v>548740.80000000005</v>
      </c>
      <c r="H45" s="263"/>
      <c r="I45" s="25">
        <v>4</v>
      </c>
      <c r="J45" s="51" t="s">
        <v>138</v>
      </c>
      <c r="K45" s="47">
        <f>140000</f>
        <v>140000</v>
      </c>
      <c r="L45" s="235">
        <v>140000</v>
      </c>
      <c r="M45" s="182">
        <v>159632.98000000001</v>
      </c>
    </row>
    <row r="46" spans="1:14" x14ac:dyDescent="0.3">
      <c r="A46" s="15"/>
      <c r="B46" s="19"/>
      <c r="C46" s="15"/>
      <c r="D46" s="15"/>
      <c r="E46" s="214"/>
      <c r="F46" s="130"/>
      <c r="G46" s="131"/>
      <c r="H46" s="263"/>
      <c r="I46" s="25">
        <v>5</v>
      </c>
      <c r="J46" s="51" t="s">
        <v>17</v>
      </c>
      <c r="K46" s="47">
        <v>1153584</v>
      </c>
      <c r="L46" s="235">
        <v>1345000</v>
      </c>
      <c r="M46" s="182">
        <v>1394048.08</v>
      </c>
      <c r="N46" s="2" t="s">
        <v>158</v>
      </c>
    </row>
    <row r="47" spans="1:14" x14ac:dyDescent="0.3">
      <c r="A47" s="15"/>
      <c r="B47" s="19"/>
      <c r="C47" s="15"/>
      <c r="D47" s="15"/>
      <c r="E47" s="214"/>
      <c r="F47" s="130"/>
      <c r="G47" s="131"/>
      <c r="H47" s="263"/>
      <c r="I47" s="25">
        <v>6</v>
      </c>
      <c r="J47" s="51" t="s">
        <v>18</v>
      </c>
      <c r="K47" s="47">
        <v>54000</v>
      </c>
      <c r="L47" s="235">
        <v>54000</v>
      </c>
      <c r="M47" s="182">
        <v>54000</v>
      </c>
      <c r="N47" s="2" t="s">
        <v>153</v>
      </c>
    </row>
    <row r="48" spans="1:14" x14ac:dyDescent="0.3">
      <c r="A48" s="15"/>
      <c r="B48" s="19"/>
      <c r="C48" s="15"/>
      <c r="D48" s="15"/>
      <c r="E48" s="214"/>
      <c r="F48" s="130"/>
      <c r="G48" s="131"/>
      <c r="H48" s="263"/>
      <c r="I48" s="25">
        <v>7</v>
      </c>
      <c r="J48" s="51" t="s">
        <v>19</v>
      </c>
      <c r="K48" s="47">
        <v>10000</v>
      </c>
      <c r="L48" s="235">
        <v>10000</v>
      </c>
      <c r="M48" s="182">
        <v>10000</v>
      </c>
      <c r="N48" s="2" t="s">
        <v>154</v>
      </c>
    </row>
    <row r="49" spans="1:14" x14ac:dyDescent="0.3">
      <c r="A49" s="15"/>
      <c r="B49" s="19"/>
      <c r="C49" s="15"/>
      <c r="D49" s="15"/>
      <c r="E49" s="214"/>
      <c r="F49" s="130"/>
      <c r="G49" s="131"/>
      <c r="H49" s="263"/>
      <c r="I49" s="25">
        <v>8</v>
      </c>
      <c r="J49" s="51" t="s">
        <v>20</v>
      </c>
      <c r="K49" s="47">
        <v>240000</v>
      </c>
      <c r="L49" s="235">
        <v>240000</v>
      </c>
      <c r="M49" s="182">
        <v>240000</v>
      </c>
      <c r="N49" s="2" t="s">
        <v>149</v>
      </c>
    </row>
    <row r="50" spans="1:14" x14ac:dyDescent="0.3">
      <c r="A50" s="15"/>
      <c r="B50" s="19"/>
      <c r="C50" s="15"/>
      <c r="D50" s="15"/>
      <c r="E50" s="214"/>
      <c r="F50" s="130"/>
      <c r="G50" s="131"/>
      <c r="H50" s="263"/>
      <c r="I50" s="25">
        <v>9</v>
      </c>
      <c r="J50" s="51" t="s">
        <v>21</v>
      </c>
      <c r="K50" s="47">
        <v>40000</v>
      </c>
      <c r="L50" s="235">
        <v>40000</v>
      </c>
      <c r="M50" s="182">
        <v>29654</v>
      </c>
    </row>
    <row r="51" spans="1:14" x14ac:dyDescent="0.3">
      <c r="A51" s="15"/>
      <c r="B51" s="19"/>
      <c r="C51" s="15"/>
      <c r="D51" s="15"/>
      <c r="E51" s="214"/>
      <c r="F51" s="130"/>
      <c r="G51" s="131"/>
      <c r="H51" s="263"/>
      <c r="I51" s="25">
        <v>10</v>
      </c>
      <c r="J51" s="51" t="s">
        <v>22</v>
      </c>
      <c r="K51" s="105">
        <v>9000</v>
      </c>
      <c r="L51" s="235">
        <v>4500</v>
      </c>
      <c r="M51" s="182">
        <v>9000</v>
      </c>
      <c r="N51" s="2" t="s">
        <v>155</v>
      </c>
    </row>
    <row r="52" spans="1:14" x14ac:dyDescent="0.3">
      <c r="A52" s="15"/>
      <c r="B52" s="19"/>
      <c r="C52" s="15"/>
      <c r="D52" s="15"/>
      <c r="E52" s="214"/>
      <c r="F52" s="130"/>
      <c r="G52" s="131"/>
      <c r="H52" s="263"/>
      <c r="I52" s="25">
        <v>11</v>
      </c>
      <c r="J52" s="51" t="s">
        <v>23</v>
      </c>
      <c r="K52" s="105">
        <v>100000</v>
      </c>
      <c r="L52" s="235">
        <v>100000</v>
      </c>
      <c r="M52" s="182"/>
    </row>
    <row r="53" spans="1:14" hidden="1" outlineLevel="1" x14ac:dyDescent="0.3">
      <c r="A53" s="15"/>
      <c r="B53" s="19"/>
      <c r="C53" s="15"/>
      <c r="D53" s="15"/>
      <c r="E53" s="214"/>
      <c r="F53" s="130"/>
      <c r="G53" s="131"/>
      <c r="H53" s="263"/>
      <c r="I53" s="25">
        <v>12</v>
      </c>
      <c r="J53" s="51" t="s">
        <v>24</v>
      </c>
      <c r="K53" s="245"/>
      <c r="L53" s="235"/>
      <c r="M53" s="182"/>
    </row>
    <row r="54" spans="1:14" hidden="1" outlineLevel="1" x14ac:dyDescent="0.3">
      <c r="A54" s="15"/>
      <c r="B54" s="19"/>
      <c r="C54" s="15"/>
      <c r="D54" s="15"/>
      <c r="E54" s="214"/>
      <c r="F54" s="130"/>
      <c r="G54" s="131"/>
      <c r="H54" s="263"/>
      <c r="I54" s="25">
        <v>13</v>
      </c>
      <c r="J54" s="51" t="s">
        <v>25</v>
      </c>
      <c r="K54" s="105">
        <v>0</v>
      </c>
      <c r="L54" s="235"/>
      <c r="M54" s="182"/>
    </row>
    <row r="55" spans="1:14" hidden="1" outlineLevel="1" x14ac:dyDescent="0.3">
      <c r="A55" s="15"/>
      <c r="B55" s="19"/>
      <c r="C55" s="15"/>
      <c r="D55" s="15"/>
      <c r="E55" s="214"/>
      <c r="F55" s="130"/>
      <c r="G55" s="131"/>
      <c r="H55" s="263"/>
      <c r="I55" s="25">
        <v>14</v>
      </c>
      <c r="J55" s="51" t="s">
        <v>26</v>
      </c>
      <c r="K55" s="245"/>
      <c r="L55" s="235"/>
      <c r="M55" s="182"/>
    </row>
    <row r="56" spans="1:14" hidden="1" outlineLevel="1" x14ac:dyDescent="0.3">
      <c r="A56" s="15"/>
      <c r="B56" s="19"/>
      <c r="C56" s="15"/>
      <c r="D56" s="15"/>
      <c r="E56" s="214"/>
      <c r="F56" s="130"/>
      <c r="G56" s="131"/>
      <c r="H56" s="263"/>
      <c r="I56" s="25">
        <v>15</v>
      </c>
      <c r="J56" s="270"/>
      <c r="K56" s="245"/>
      <c r="L56" s="235"/>
      <c r="M56" s="182"/>
    </row>
    <row r="57" spans="1:14" collapsed="1" x14ac:dyDescent="0.3">
      <c r="A57" s="15"/>
      <c r="B57" s="19"/>
      <c r="C57" s="15"/>
      <c r="D57" s="15"/>
      <c r="E57" s="214"/>
      <c r="F57" s="130"/>
      <c r="G57" s="131"/>
      <c r="H57" s="263"/>
      <c r="I57" s="25">
        <v>12</v>
      </c>
      <c r="J57" s="51" t="s">
        <v>28</v>
      </c>
      <c r="K57" s="105">
        <v>63600</v>
      </c>
      <c r="L57" s="235">
        <v>63600</v>
      </c>
      <c r="M57" s="182">
        <v>90087</v>
      </c>
      <c r="N57" s="2" t="s">
        <v>150</v>
      </c>
    </row>
    <row r="58" spans="1:14" x14ac:dyDescent="0.3">
      <c r="A58" s="15"/>
      <c r="B58" s="19"/>
      <c r="C58" s="15"/>
      <c r="D58" s="15"/>
      <c r="E58" s="214"/>
      <c r="F58" s="130"/>
      <c r="G58" s="131"/>
      <c r="H58" s="265"/>
      <c r="I58" s="25">
        <v>13</v>
      </c>
      <c r="J58" s="51" t="s">
        <v>29</v>
      </c>
      <c r="K58" s="105">
        <v>80000</v>
      </c>
      <c r="L58" s="235">
        <v>34000</v>
      </c>
      <c r="M58" s="182">
        <v>74950</v>
      </c>
    </row>
    <row r="59" spans="1:14" x14ac:dyDescent="0.3">
      <c r="A59" s="15"/>
      <c r="B59" s="19"/>
      <c r="C59" s="15"/>
      <c r="D59" s="15"/>
      <c r="E59" s="214"/>
      <c r="F59" s="130"/>
      <c r="G59" s="131"/>
      <c r="H59" s="265"/>
      <c r="I59" s="25">
        <v>14</v>
      </c>
      <c r="J59" s="51" t="s">
        <v>30</v>
      </c>
      <c r="K59" s="105">
        <v>25000</v>
      </c>
      <c r="L59" s="235">
        <v>25000</v>
      </c>
      <c r="M59" s="182"/>
    </row>
    <row r="60" spans="1:14" x14ac:dyDescent="0.3">
      <c r="A60" s="15"/>
      <c r="B60" s="19"/>
      <c r="C60" s="15"/>
      <c r="D60" s="15"/>
      <c r="E60" s="214"/>
      <c r="F60" s="130"/>
      <c r="G60" s="131"/>
      <c r="H60" s="266"/>
      <c r="I60" s="277">
        <v>15</v>
      </c>
      <c r="J60" s="268" t="s">
        <v>45</v>
      </c>
      <c r="K60" s="244">
        <v>30000</v>
      </c>
      <c r="L60" s="235">
        <v>30000</v>
      </c>
      <c r="M60" s="182">
        <f>19577.17+20000</f>
        <v>39577.17</v>
      </c>
    </row>
    <row r="61" spans="1:14" hidden="1" outlineLevel="1" x14ac:dyDescent="0.3">
      <c r="A61" s="15"/>
      <c r="B61" s="19"/>
      <c r="C61" s="15"/>
      <c r="D61" s="15"/>
      <c r="E61" s="214"/>
      <c r="F61" s="130"/>
      <c r="G61" s="131"/>
      <c r="H61" s="266"/>
      <c r="I61" s="277"/>
      <c r="J61" s="268" t="s">
        <v>46</v>
      </c>
      <c r="K61" s="246"/>
      <c r="L61" s="235"/>
      <c r="M61" s="182"/>
    </row>
    <row r="62" spans="1:14" hidden="1" outlineLevel="1" x14ac:dyDescent="0.3">
      <c r="A62" s="15"/>
      <c r="B62" s="19"/>
      <c r="C62" s="15"/>
      <c r="D62" s="15"/>
      <c r="E62" s="214"/>
      <c r="F62" s="130"/>
      <c r="G62" s="131"/>
      <c r="H62" s="266"/>
      <c r="I62" s="277"/>
      <c r="J62" s="268" t="s">
        <v>47</v>
      </c>
      <c r="K62" s="246"/>
      <c r="L62" s="235"/>
      <c r="M62" s="182"/>
    </row>
    <row r="63" spans="1:14" collapsed="1" x14ac:dyDescent="0.3">
      <c r="A63" s="15"/>
      <c r="B63" s="19"/>
      <c r="C63" s="15"/>
      <c r="D63" s="15"/>
      <c r="E63" s="214"/>
      <c r="F63" s="130"/>
      <c r="G63" s="131"/>
      <c r="H63" s="266"/>
      <c r="I63" s="277">
        <v>16</v>
      </c>
      <c r="J63" s="268" t="s">
        <v>43</v>
      </c>
      <c r="K63" s="244">
        <f>40000*12</f>
        <v>480000</v>
      </c>
      <c r="L63" s="235">
        <v>420000</v>
      </c>
      <c r="M63" s="182">
        <v>420000</v>
      </c>
    </row>
    <row r="64" spans="1:14" x14ac:dyDescent="0.3">
      <c r="A64" s="15"/>
      <c r="B64" s="19"/>
      <c r="C64" s="15"/>
      <c r="D64" s="15"/>
      <c r="E64" s="214"/>
      <c r="F64" s="130"/>
      <c r="G64" s="131"/>
      <c r="H64" s="266"/>
      <c r="I64" s="277">
        <v>17</v>
      </c>
      <c r="J64" s="271" t="s">
        <v>11</v>
      </c>
      <c r="K64" s="247">
        <v>40000</v>
      </c>
      <c r="L64" s="236">
        <v>40000</v>
      </c>
      <c r="M64" s="183">
        <v>40000</v>
      </c>
      <c r="N64" s="2" t="s">
        <v>156</v>
      </c>
    </row>
    <row r="65" spans="1:14" x14ac:dyDescent="0.3">
      <c r="A65" s="15"/>
      <c r="B65" s="19"/>
      <c r="C65" s="15"/>
      <c r="D65" s="15"/>
      <c r="E65" s="214"/>
      <c r="F65" s="130"/>
      <c r="G65" s="145"/>
      <c r="H65" s="145"/>
      <c r="I65" s="277">
        <v>18</v>
      </c>
      <c r="J65" s="272" t="s">
        <v>126</v>
      </c>
      <c r="K65" s="248">
        <v>20000</v>
      </c>
      <c r="L65" s="240"/>
      <c r="M65" s="182">
        <v>30012</v>
      </c>
    </row>
    <row r="66" spans="1:14" x14ac:dyDescent="0.3">
      <c r="A66" s="15"/>
      <c r="B66" s="19"/>
      <c r="C66" s="15"/>
      <c r="D66" s="15"/>
      <c r="E66" s="214"/>
      <c r="F66" s="130"/>
      <c r="G66" s="145"/>
      <c r="H66" s="145"/>
      <c r="I66" s="277">
        <v>19</v>
      </c>
      <c r="J66" s="272" t="s">
        <v>26</v>
      </c>
      <c r="K66" s="248">
        <v>20000</v>
      </c>
      <c r="L66" s="240"/>
      <c r="M66" s="182">
        <v>36814.199999999997</v>
      </c>
    </row>
    <row r="67" spans="1:14" x14ac:dyDescent="0.3">
      <c r="A67" s="15"/>
      <c r="B67" s="19"/>
      <c r="C67" s="15"/>
      <c r="D67" s="15"/>
      <c r="E67" s="214"/>
      <c r="F67" s="130"/>
      <c r="G67" s="145"/>
      <c r="H67" s="145"/>
      <c r="I67" s="277">
        <v>20</v>
      </c>
      <c r="J67" s="272" t="s">
        <v>24</v>
      </c>
      <c r="K67" s="248">
        <v>300000</v>
      </c>
      <c r="L67" s="240"/>
      <c r="M67" s="182">
        <v>207819.9</v>
      </c>
    </row>
    <row r="68" spans="1:14" ht="51" customHeight="1" x14ac:dyDescent="0.3">
      <c r="A68" s="15"/>
      <c r="B68" s="19"/>
      <c r="C68" s="15"/>
      <c r="D68" s="15"/>
      <c r="E68" s="214"/>
      <c r="F68" s="130"/>
      <c r="G68" s="145"/>
      <c r="H68" s="145"/>
      <c r="I68" s="277">
        <v>21</v>
      </c>
      <c r="J68" s="273" t="s">
        <v>136</v>
      </c>
      <c r="K68" s="248">
        <v>120000</v>
      </c>
      <c r="L68" s="240"/>
      <c r="M68" s="182">
        <v>119922.13</v>
      </c>
    </row>
    <row r="69" spans="1:14" x14ac:dyDescent="0.3">
      <c r="A69" s="15"/>
      <c r="B69" s="19"/>
      <c r="C69" s="15"/>
      <c r="D69" s="15"/>
      <c r="E69" s="214"/>
      <c r="F69" s="130"/>
      <c r="G69" s="145"/>
      <c r="H69" s="145"/>
      <c r="I69" s="277">
        <v>22</v>
      </c>
      <c r="J69" s="272" t="s">
        <v>47</v>
      </c>
      <c r="K69" s="248">
        <v>20000</v>
      </c>
      <c r="L69" s="240"/>
      <c r="M69" s="182">
        <v>16836</v>
      </c>
    </row>
    <row r="70" spans="1:14" ht="18.600000000000001" customHeight="1" x14ac:dyDescent="0.3">
      <c r="A70" s="15"/>
      <c r="B70" s="19"/>
      <c r="C70" s="15"/>
      <c r="D70" s="15"/>
      <c r="E70" s="214"/>
      <c r="F70" s="130"/>
      <c r="G70" s="145"/>
      <c r="H70" s="145"/>
      <c r="I70" s="277">
        <v>23</v>
      </c>
      <c r="J70" s="272" t="s">
        <v>127</v>
      </c>
      <c r="K70" s="248"/>
      <c r="L70" s="240"/>
      <c r="M70" s="182">
        <v>126500</v>
      </c>
    </row>
    <row r="71" spans="1:14" ht="19.5" thickBot="1" x14ac:dyDescent="0.35">
      <c r="A71" s="15"/>
      <c r="B71" s="19"/>
      <c r="C71" s="15"/>
      <c r="D71" s="15"/>
      <c r="E71" s="214"/>
      <c r="F71" s="130"/>
      <c r="G71" s="145"/>
      <c r="H71" s="145"/>
      <c r="I71" s="278">
        <v>24</v>
      </c>
      <c r="J71" s="272" t="s">
        <v>125</v>
      </c>
      <c r="K71" s="248">
        <v>20000</v>
      </c>
      <c r="L71" s="240"/>
      <c r="M71" s="182">
        <v>10682</v>
      </c>
    </row>
    <row r="72" spans="1:14" ht="19.5" outlineLevel="1" thickBot="1" x14ac:dyDescent="0.35">
      <c r="A72" s="15"/>
      <c r="B72" s="19"/>
      <c r="C72" s="15"/>
      <c r="D72" s="15"/>
      <c r="E72" s="214"/>
      <c r="F72" s="130"/>
      <c r="G72" s="131"/>
      <c r="H72" s="152"/>
      <c r="I72" s="275" t="s">
        <v>34</v>
      </c>
      <c r="J72" s="106" t="s">
        <v>87</v>
      </c>
      <c r="K72" s="107">
        <f>K73+K74</f>
        <v>710000</v>
      </c>
      <c r="L72" s="238">
        <f>SUM(L73:L74)</f>
        <v>590000</v>
      </c>
      <c r="M72" s="142">
        <f>SUM(M73:M74)</f>
        <v>697424.01</v>
      </c>
    </row>
    <row r="73" spans="1:14" outlineLevel="1" x14ac:dyDescent="0.3">
      <c r="A73" s="15"/>
      <c r="B73" s="19"/>
      <c r="C73" s="15"/>
      <c r="D73" s="15"/>
      <c r="E73" s="214"/>
      <c r="F73" s="130"/>
      <c r="G73" s="131"/>
      <c r="H73" s="147"/>
      <c r="I73" s="111">
        <v>1</v>
      </c>
      <c r="J73" s="16" t="s">
        <v>32</v>
      </c>
      <c r="K73" s="105">
        <v>650000</v>
      </c>
      <c r="L73" s="235">
        <v>550000</v>
      </c>
      <c r="M73" s="112">
        <v>640626.30000000005</v>
      </c>
    </row>
    <row r="74" spans="1:14" ht="19.5" outlineLevel="1" thickBot="1" x14ac:dyDescent="0.35">
      <c r="A74" s="15"/>
      <c r="B74" s="19"/>
      <c r="C74" s="15"/>
      <c r="D74" s="15"/>
      <c r="E74" s="214"/>
      <c r="F74" s="130"/>
      <c r="G74" s="131"/>
      <c r="H74" s="147"/>
      <c r="I74" s="111">
        <v>2</v>
      </c>
      <c r="J74" s="16" t="s">
        <v>33</v>
      </c>
      <c r="K74" s="47">
        <v>60000</v>
      </c>
      <c r="L74" s="235">
        <v>40000</v>
      </c>
      <c r="M74" s="112">
        <v>56797.71</v>
      </c>
    </row>
    <row r="75" spans="1:14" ht="19.5" thickBot="1" x14ac:dyDescent="0.35">
      <c r="A75" s="18"/>
      <c r="B75" s="29"/>
      <c r="C75" s="15"/>
      <c r="D75" s="15"/>
      <c r="E75" s="214"/>
      <c r="F75" s="130"/>
      <c r="G75" s="131"/>
      <c r="H75" s="150"/>
      <c r="I75" s="191" t="s">
        <v>86</v>
      </c>
      <c r="J75" s="108" t="s">
        <v>13</v>
      </c>
      <c r="K75" s="109">
        <f>E34-K35-K72</f>
        <v>3566.7200000006706</v>
      </c>
      <c r="L75" s="238">
        <v>2577.75</v>
      </c>
      <c r="M75" s="192"/>
    </row>
    <row r="76" spans="1:14" ht="19.5" thickBot="1" x14ac:dyDescent="0.35">
      <c r="A76" s="20" t="s">
        <v>35</v>
      </c>
      <c r="B76" s="21" t="s">
        <v>36</v>
      </c>
      <c r="C76" s="21"/>
      <c r="D76" s="20"/>
      <c r="E76" s="220">
        <f>SUM(E77:E78)</f>
        <v>2339635.2000000002</v>
      </c>
      <c r="F76" s="170" t="s">
        <v>50</v>
      </c>
      <c r="G76" s="171">
        <f>SUM(G77:G78)</f>
        <v>2067835.2</v>
      </c>
      <c r="H76" s="172">
        <f>SUM(H77:H78)</f>
        <v>2017944.85</v>
      </c>
      <c r="I76" s="117" t="s">
        <v>35</v>
      </c>
      <c r="J76" s="21" t="s">
        <v>36</v>
      </c>
      <c r="K76" s="49">
        <f>K77+K78+K79</f>
        <v>2339635.2000000002</v>
      </c>
      <c r="L76" s="242">
        <f>SUM(L77:L79)</f>
        <v>2067835.2</v>
      </c>
      <c r="M76" s="143">
        <f>SUM(M77:M79)</f>
        <v>1997047</v>
      </c>
    </row>
    <row r="77" spans="1:14" ht="37.5" x14ac:dyDescent="0.3">
      <c r="A77" s="176">
        <v>1</v>
      </c>
      <c r="B77" s="177" t="s">
        <v>81</v>
      </c>
      <c r="C77" s="226">
        <v>1150</v>
      </c>
      <c r="D77" s="178">
        <v>151</v>
      </c>
      <c r="E77" s="221">
        <f>C77*D77*12</f>
        <v>2083800</v>
      </c>
      <c r="F77" s="179">
        <v>1000</v>
      </c>
      <c r="G77" s="180">
        <v>1812000</v>
      </c>
      <c r="H77" s="181">
        <v>1768852.35</v>
      </c>
      <c r="I77" s="184">
        <v>1</v>
      </c>
      <c r="J77" s="175" t="s">
        <v>37</v>
      </c>
      <c r="K77" s="110">
        <f>189750*12</f>
        <v>2277000</v>
      </c>
      <c r="L77" s="235">
        <v>1980000</v>
      </c>
      <c r="M77" s="112">
        <v>1980000</v>
      </c>
      <c r="N77" s="2" t="s">
        <v>151</v>
      </c>
    </row>
    <row r="78" spans="1:14" x14ac:dyDescent="0.3">
      <c r="A78" s="24">
        <v>2</v>
      </c>
      <c r="B78" s="34" t="s">
        <v>82</v>
      </c>
      <c r="C78" s="227">
        <v>2</v>
      </c>
      <c r="D78" s="47">
        <v>10659.8</v>
      </c>
      <c r="E78" s="222">
        <f>C78*D78*12</f>
        <v>255835.19999999998</v>
      </c>
      <c r="F78" s="130">
        <v>2</v>
      </c>
      <c r="G78" s="131">
        <v>255835.2</v>
      </c>
      <c r="H78" s="147">
        <v>249092.5</v>
      </c>
      <c r="I78" s="111">
        <v>2</v>
      </c>
      <c r="J78" s="26" t="s">
        <v>38</v>
      </c>
      <c r="K78" s="47">
        <v>15000</v>
      </c>
      <c r="L78" s="235">
        <v>26400</v>
      </c>
      <c r="M78" s="112"/>
    </row>
    <row r="79" spans="1:14" ht="19.5" thickBot="1" x14ac:dyDescent="0.35">
      <c r="A79" s="119"/>
      <c r="B79" s="118"/>
      <c r="C79" s="211"/>
      <c r="D79" s="231"/>
      <c r="E79" s="223"/>
      <c r="F79" s="132"/>
      <c r="G79" s="133"/>
      <c r="H79" s="148"/>
      <c r="I79" s="111">
        <v>3</v>
      </c>
      <c r="J79" s="26" t="s">
        <v>90</v>
      </c>
      <c r="K79" s="47">
        <f>E76-K77-K78</f>
        <v>47635.200000000186</v>
      </c>
      <c r="L79" s="235">
        <v>61435.199999999997</v>
      </c>
      <c r="M79" s="112">
        <v>17047</v>
      </c>
    </row>
    <row r="80" spans="1:14" ht="19.5" thickBot="1" x14ac:dyDescent="0.35">
      <c r="A80" s="255" t="s">
        <v>39</v>
      </c>
      <c r="B80" s="190" t="s">
        <v>40</v>
      </c>
      <c r="C80" s="212"/>
      <c r="D80" s="190"/>
      <c r="E80" s="261">
        <f>E81+E82</f>
        <v>1546140</v>
      </c>
      <c r="F80" s="170"/>
      <c r="G80" s="171">
        <f>SUM(G81:G82)</f>
        <v>1460868</v>
      </c>
      <c r="H80" s="172">
        <f>SUM(H81:H83)</f>
        <v>2004155.17</v>
      </c>
      <c r="I80" s="259" t="s">
        <v>39</v>
      </c>
      <c r="J80" s="258" t="s">
        <v>41</v>
      </c>
      <c r="K80" s="50">
        <f>SUM(K81:K82)</f>
        <v>1546140</v>
      </c>
      <c r="L80" s="144">
        <f>SUM(L81:L82)</f>
        <v>1460868</v>
      </c>
      <c r="M80" s="112"/>
    </row>
    <row r="81" spans="1:13" x14ac:dyDescent="0.3">
      <c r="A81" s="256">
        <v>1</v>
      </c>
      <c r="B81" s="13" t="s">
        <v>42</v>
      </c>
      <c r="C81" s="254"/>
      <c r="D81" s="22"/>
      <c r="E81" s="224">
        <f>ХД!D10</f>
        <v>1454730</v>
      </c>
      <c r="F81" s="138"/>
      <c r="G81" s="139">
        <v>1370730</v>
      </c>
      <c r="H81" s="152">
        <v>1503795</v>
      </c>
      <c r="I81" s="230">
        <v>1</v>
      </c>
      <c r="J81" s="13" t="s">
        <v>83</v>
      </c>
      <c r="K81" s="35">
        <f>E80*0.06</f>
        <v>92768.4</v>
      </c>
      <c r="L81" s="241">
        <v>87652.08</v>
      </c>
      <c r="M81" s="112">
        <v>55485.3</v>
      </c>
    </row>
    <row r="82" spans="1:13" x14ac:dyDescent="0.3">
      <c r="A82" s="1">
        <v>2</v>
      </c>
      <c r="B82" s="16" t="s">
        <v>44</v>
      </c>
      <c r="C82" s="25"/>
      <c r="D82" s="25"/>
      <c r="E82" s="222">
        <f>ХД!D17</f>
        <v>91410</v>
      </c>
      <c r="F82" s="130"/>
      <c r="G82" s="131">
        <v>90138</v>
      </c>
      <c r="H82" s="152">
        <v>90597.89</v>
      </c>
      <c r="I82" s="230">
        <v>2</v>
      </c>
      <c r="J82" s="19" t="s">
        <v>117</v>
      </c>
      <c r="K82" s="249">
        <f>-K81+E80</f>
        <v>1453371.6</v>
      </c>
      <c r="L82" s="235">
        <v>1373215.92</v>
      </c>
      <c r="M82" s="112"/>
    </row>
    <row r="83" spans="1:13" ht="19.5" thickBot="1" x14ac:dyDescent="0.35">
      <c r="A83" s="1">
        <v>3</v>
      </c>
      <c r="B83" s="2" t="s">
        <v>128</v>
      </c>
      <c r="C83" s="116"/>
      <c r="D83" s="116"/>
      <c r="E83" s="116"/>
      <c r="F83" s="186"/>
      <c r="G83" s="187"/>
      <c r="H83" s="185">
        <v>409762.28</v>
      </c>
      <c r="I83" s="116"/>
      <c r="K83" s="250"/>
      <c r="L83" s="127"/>
      <c r="M83" s="112"/>
    </row>
    <row r="84" spans="1:13" ht="19.5" thickBot="1" x14ac:dyDescent="0.35">
      <c r="A84" s="257"/>
      <c r="B84" s="27" t="s">
        <v>48</v>
      </c>
      <c r="C84" s="232"/>
      <c r="D84" s="232"/>
      <c r="E84" s="225">
        <f>E11+E34+E76+E80</f>
        <v>16342155.120000001</v>
      </c>
      <c r="F84" s="188"/>
      <c r="G84" s="189">
        <f>G11+G34+G76+G80</f>
        <v>14754168.949999999</v>
      </c>
      <c r="H84" s="189"/>
      <c r="I84" s="260"/>
      <c r="J84" s="27" t="s">
        <v>49</v>
      </c>
      <c r="K84" s="225">
        <f>K11+K34+K76+K80</f>
        <v>16342155.120000001</v>
      </c>
      <c r="L84" s="28">
        <f>L11+L34+L76+L80</f>
        <v>14754168.949999999</v>
      </c>
      <c r="M84" s="112"/>
    </row>
    <row r="86" spans="1:13" hidden="1" outlineLevel="1" x14ac:dyDescent="0.3">
      <c r="I86" s="208">
        <v>24</v>
      </c>
      <c r="J86" s="209" t="s">
        <v>159</v>
      </c>
      <c r="K86" s="210"/>
      <c r="L86" s="126"/>
      <c r="M86" s="182">
        <v>271100</v>
      </c>
    </row>
    <row r="87" spans="1:13" collapsed="1" x14ac:dyDescent="0.3"/>
  </sheetData>
  <mergeCells count="3">
    <mergeCell ref="A6:K6"/>
    <mergeCell ref="C10:E10"/>
    <mergeCell ref="F10:G10"/>
  </mergeCells>
  <pageMargins left="0.70866141732283472" right="0.70866141732283472" top="0" bottom="0" header="0.31496062992125984" footer="0.31496062992125984"/>
  <pageSetup paperSize="9" scale="71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3"/>
  <sheetViews>
    <sheetView tabSelected="1" topLeftCell="B1" zoomScale="73" zoomScaleNormal="73" zoomScaleSheetLayoutView="80" workbookViewId="0">
      <pane ySplit="1" topLeftCell="A67" activePane="bottomLeft" state="frozen"/>
      <selection pane="bottomLeft" activeCell="L24" sqref="L24"/>
    </sheetView>
  </sheetViews>
  <sheetFormatPr defaultColWidth="8.85546875" defaultRowHeight="18.75" outlineLevelRow="1" outlineLevelCol="1" x14ac:dyDescent="0.3"/>
  <cols>
    <col min="1" max="1" width="9" style="310" bestFit="1" customWidth="1"/>
    <col min="2" max="2" width="33" style="310" customWidth="1"/>
    <col min="3" max="3" width="12.28515625" style="310" bestFit="1" customWidth="1"/>
    <col min="4" max="4" width="13.7109375" style="310" bestFit="1" customWidth="1"/>
    <col min="5" max="5" width="18.140625" style="310" hidden="1" customWidth="1" outlineLevel="1"/>
    <col min="6" max="6" width="17.42578125" style="310" customWidth="1" collapsed="1"/>
    <col min="7" max="7" width="11" style="310" customWidth="1"/>
    <col min="8" max="8" width="13.7109375" style="310" bestFit="1" customWidth="1"/>
    <col min="9" max="9" width="18.140625" style="310" customWidth="1"/>
    <col min="10" max="10" width="21.7109375" style="310" customWidth="1" outlineLevel="1"/>
    <col min="11" max="11" width="5.5703125" style="310" customWidth="1"/>
    <col min="12" max="12" width="82" style="310" customWidth="1"/>
    <col min="13" max="14" width="18.28515625" style="310" bestFit="1" customWidth="1"/>
    <col min="15" max="15" width="22.7109375" style="317" bestFit="1" customWidth="1"/>
    <col min="16" max="16" width="0.7109375" style="317" customWidth="1"/>
    <col min="17" max="17" width="53.85546875" style="310" customWidth="1" outlineLevel="1"/>
    <col min="18" max="18" width="8.85546875" style="310"/>
    <col min="19" max="19" width="15.7109375" style="310" hidden="1" customWidth="1" outlineLevel="1"/>
    <col min="20" max="20" width="31.85546875" style="310" bestFit="1" customWidth="1" collapsed="1"/>
    <col min="21" max="21" width="8.85546875" style="310"/>
    <col min="22" max="22" width="21.140625" style="310" customWidth="1"/>
    <col min="23" max="23" width="25.7109375" style="310" customWidth="1"/>
    <col min="24" max="24" width="26.28515625" style="310" customWidth="1"/>
    <col min="25" max="16384" width="8.85546875" style="310"/>
  </cols>
  <sheetData>
    <row r="1" spans="1:19" x14ac:dyDescent="0.3">
      <c r="L1" s="463" t="s">
        <v>161</v>
      </c>
      <c r="M1" s="313"/>
      <c r="N1" s="312"/>
      <c r="O1" s="313"/>
      <c r="P1" s="313"/>
    </row>
    <row r="2" spans="1:19" x14ac:dyDescent="0.3">
      <c r="L2" s="463" t="s">
        <v>270</v>
      </c>
      <c r="M2" s="313"/>
      <c r="N2" s="312"/>
      <c r="O2" s="313"/>
      <c r="P2" s="313"/>
    </row>
    <row r="3" spans="1:19" x14ac:dyDescent="0.3">
      <c r="L3" s="464"/>
    </row>
    <row r="4" spans="1:19" x14ac:dyDescent="0.3">
      <c r="L4" s="463" t="s">
        <v>254</v>
      </c>
      <c r="M4" s="313"/>
      <c r="N4" s="312"/>
      <c r="O4" s="313"/>
      <c r="P4" s="313"/>
    </row>
    <row r="5" spans="1:19" ht="27" customHeight="1" x14ac:dyDescent="0.3">
      <c r="L5" s="463" t="s">
        <v>253</v>
      </c>
      <c r="M5" s="313"/>
      <c r="N5" s="312"/>
      <c r="O5" s="313"/>
      <c r="P5" s="313"/>
    </row>
    <row r="6" spans="1:19" ht="22.9" customHeight="1" x14ac:dyDescent="0.3">
      <c r="L6" s="312"/>
      <c r="M6" s="313"/>
      <c r="N6" s="312"/>
      <c r="O6" s="313"/>
      <c r="P6" s="313"/>
    </row>
    <row r="7" spans="1:19" ht="23.25" x14ac:dyDescent="0.35">
      <c r="A7" s="695" t="s">
        <v>241</v>
      </c>
      <c r="B7" s="695"/>
      <c r="C7" s="695"/>
      <c r="D7" s="695"/>
      <c r="E7" s="695"/>
      <c r="F7" s="695"/>
      <c r="G7" s="695"/>
      <c r="H7" s="695"/>
      <c r="I7" s="695"/>
      <c r="J7" s="695"/>
      <c r="K7" s="695"/>
      <c r="L7" s="695"/>
      <c r="M7" s="695"/>
      <c r="N7" s="695"/>
      <c r="O7" s="695"/>
      <c r="P7" s="680"/>
    </row>
    <row r="8" spans="1:19" ht="10.15" customHeight="1" x14ac:dyDescent="0.35">
      <c r="A8" s="680"/>
      <c r="B8" s="680"/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</row>
    <row r="9" spans="1:19" ht="21" x14ac:dyDescent="0.35">
      <c r="A9" s="696" t="s">
        <v>182</v>
      </c>
      <c r="B9" s="697"/>
      <c r="C9" s="697"/>
      <c r="D9" s="314">
        <f>D14</f>
        <v>22820.6</v>
      </c>
      <c r="E9" s="315"/>
      <c r="G9" s="316"/>
      <c r="H9" s="315"/>
      <c r="I9" s="316"/>
      <c r="J9" s="316"/>
      <c r="K9" s="316"/>
      <c r="L9" s="316"/>
      <c r="M9" s="316"/>
      <c r="N9" s="316"/>
    </row>
    <row r="10" spans="1:19" ht="21.75" thickBot="1" x14ac:dyDescent="0.4">
      <c r="A10" s="681"/>
      <c r="B10" s="682"/>
      <c r="C10" s="682"/>
      <c r="D10" s="314"/>
      <c r="E10" s="315"/>
      <c r="G10" s="316"/>
      <c r="H10" s="315"/>
      <c r="I10" s="316"/>
      <c r="J10" s="316"/>
      <c r="K10" s="316"/>
      <c r="L10" s="316"/>
      <c r="M10" s="316"/>
      <c r="N10" s="316"/>
      <c r="O10" s="319">
        <v>45843</v>
      </c>
      <c r="P10" s="319"/>
    </row>
    <row r="11" spans="1:19" ht="19.899999999999999" customHeight="1" thickBot="1" x14ac:dyDescent="0.4">
      <c r="A11" s="710" t="s">
        <v>247</v>
      </c>
      <c r="B11" s="711"/>
      <c r="C11" s="711"/>
      <c r="D11" s="711"/>
      <c r="E11" s="711"/>
      <c r="F11" s="711"/>
      <c r="G11" s="711"/>
      <c r="H11" s="711"/>
      <c r="I11" s="711"/>
      <c r="J11" s="712"/>
      <c r="K11" s="710" t="s">
        <v>2</v>
      </c>
      <c r="L11" s="711"/>
      <c r="M11" s="711"/>
      <c r="N11" s="711"/>
      <c r="O11" s="712"/>
      <c r="P11" s="634"/>
    </row>
    <row r="12" spans="1:19" ht="57" thickBot="1" x14ac:dyDescent="0.35">
      <c r="A12" s="370" t="s">
        <v>3</v>
      </c>
      <c r="B12" s="428" t="s">
        <v>4</v>
      </c>
      <c r="C12" s="391" t="s">
        <v>58</v>
      </c>
      <c r="D12" s="391" t="s">
        <v>211</v>
      </c>
      <c r="E12" s="388" t="s">
        <v>177</v>
      </c>
      <c r="F12" s="369" t="s">
        <v>218</v>
      </c>
      <c r="G12" s="391" t="s">
        <v>58</v>
      </c>
      <c r="H12" s="391" t="s">
        <v>211</v>
      </c>
      <c r="I12" s="369" t="s">
        <v>219</v>
      </c>
      <c r="J12" s="324" t="s">
        <v>212</v>
      </c>
      <c r="K12" s="325" t="s">
        <v>3</v>
      </c>
      <c r="L12" s="326" t="s">
        <v>5</v>
      </c>
      <c r="M12" s="327" t="s">
        <v>210</v>
      </c>
      <c r="N12" s="323" t="s">
        <v>219</v>
      </c>
      <c r="O12" s="328" t="s">
        <v>212</v>
      </c>
      <c r="P12" s="427"/>
      <c r="Q12" s="329"/>
      <c r="S12" s="330"/>
    </row>
    <row r="13" spans="1:19" ht="21.75" thickBot="1" x14ac:dyDescent="0.4">
      <c r="A13" s="713" t="s">
        <v>248</v>
      </c>
      <c r="B13" s="714"/>
      <c r="C13" s="714"/>
      <c r="D13" s="715"/>
      <c r="E13" s="429"/>
      <c r="F13" s="331">
        <f>F14</f>
        <v>1118209.3999999999</v>
      </c>
      <c r="G13" s="429"/>
      <c r="H13" s="429"/>
      <c r="I13" s="331">
        <f>I14</f>
        <v>1797122.2499999998</v>
      </c>
      <c r="J13" s="331">
        <f>J14</f>
        <v>2915331.6499999994</v>
      </c>
      <c r="K13" s="332"/>
      <c r="L13" s="431" t="s">
        <v>248</v>
      </c>
      <c r="M13" s="213">
        <f>M14+M15+M16+M17+M25+M26+M27+M28+M30+M29</f>
        <v>1062661.3289999999</v>
      </c>
      <c r="N13" s="213">
        <f t="shared" ref="N13" si="0">N14+N15+N16+N17+N25+N26+N27+N28+N30+N29</f>
        <v>1852670.32</v>
      </c>
      <c r="O13" s="213">
        <f>O14+O15+O16+O17+O25+O26+O27+O28+O30+O29</f>
        <v>2915331.6489999997</v>
      </c>
      <c r="P13" s="635"/>
      <c r="Q13" s="334"/>
      <c r="S13" s="330">
        <f>J13-O13</f>
        <v>9.9999969825148582E-4</v>
      </c>
    </row>
    <row r="14" spans="1:19" ht="75" x14ac:dyDescent="0.3">
      <c r="A14" s="320">
        <v>1</v>
      </c>
      <c r="B14" s="335" t="s">
        <v>52</v>
      </c>
      <c r="C14" s="213">
        <v>9.8000000000000007</v>
      </c>
      <c r="D14" s="339">
        <v>22820.6</v>
      </c>
      <c r="E14" s="339"/>
      <c r="F14" s="339">
        <f>C14*D14*5</f>
        <v>1118209.3999999999</v>
      </c>
      <c r="G14" s="294">
        <v>11.25</v>
      </c>
      <c r="H14" s="339">
        <v>22820.6</v>
      </c>
      <c r="I14" s="339">
        <f>G14*H14*7</f>
        <v>1797122.2499999998</v>
      </c>
      <c r="J14" s="430">
        <f>F14+I14</f>
        <v>2915331.6499999994</v>
      </c>
      <c r="K14" s="336">
        <v>1</v>
      </c>
      <c r="L14" s="337" t="s">
        <v>6</v>
      </c>
      <c r="M14" s="338">
        <f>'Штатное расписание 25'!H14</f>
        <v>287500</v>
      </c>
      <c r="N14" s="338">
        <f>'Штатное расписание 25'!O14</f>
        <v>560000</v>
      </c>
      <c r="O14" s="339">
        <f>M14+N14</f>
        <v>847500</v>
      </c>
      <c r="P14" s="636"/>
      <c r="Q14" s="867" t="s">
        <v>288</v>
      </c>
    </row>
    <row r="15" spans="1:19" x14ac:dyDescent="0.3">
      <c r="A15" s="340"/>
      <c r="B15" s="341"/>
      <c r="C15" s="342"/>
      <c r="D15" s="342"/>
      <c r="E15" s="343"/>
      <c r="F15" s="244">
        <f>E15*12</f>
        <v>0</v>
      </c>
      <c r="G15" s="344"/>
      <c r="H15" s="342"/>
      <c r="I15" s="287"/>
      <c r="J15" s="345"/>
      <c r="K15" s="346">
        <f>K14+1</f>
        <v>2</v>
      </c>
      <c r="L15" s="288" t="s">
        <v>7</v>
      </c>
      <c r="M15" s="347">
        <f>'Штатное расписание 25'!E55</f>
        <v>86825</v>
      </c>
      <c r="N15" s="347">
        <f>'Штатное расписание 25'!L55</f>
        <v>169120</v>
      </c>
      <c r="O15" s="244">
        <f>M15+N15</f>
        <v>255945</v>
      </c>
      <c r="P15" s="291"/>
      <c r="Q15" s="348">
        <v>0.30199999999999999</v>
      </c>
    </row>
    <row r="16" spans="1:19" x14ac:dyDescent="0.3">
      <c r="A16" s="340"/>
      <c r="B16" s="341"/>
      <c r="C16" s="342"/>
      <c r="D16" s="342"/>
      <c r="E16" s="343"/>
      <c r="F16" s="244"/>
      <c r="G16" s="344"/>
      <c r="H16" s="342"/>
      <c r="I16" s="287"/>
      <c r="J16" s="349"/>
      <c r="K16" s="346">
        <v>3</v>
      </c>
      <c r="L16" s="297" t="s">
        <v>231</v>
      </c>
      <c r="M16" s="347">
        <f>(327633.33+70000)*1.3</f>
        <v>516923.32900000003</v>
      </c>
      <c r="N16" s="347">
        <f>(70000+115000*6)*1.3</f>
        <v>988000</v>
      </c>
      <c r="O16" s="298">
        <f>M16+N16</f>
        <v>1504923.3289999999</v>
      </c>
      <c r="P16" s="637"/>
      <c r="Q16" s="350" t="s">
        <v>287</v>
      </c>
    </row>
    <row r="17" spans="1:20" ht="22.15" customHeight="1" x14ac:dyDescent="0.3">
      <c r="A17" s="340"/>
      <c r="B17" s="341"/>
      <c r="C17" s="342"/>
      <c r="D17" s="342"/>
      <c r="E17" s="342"/>
      <c r="F17" s="287"/>
      <c r="G17" s="344"/>
      <c r="H17" s="342"/>
      <c r="I17" s="287"/>
      <c r="J17" s="349"/>
      <c r="K17" s="346">
        <v>4</v>
      </c>
      <c r="L17" s="351" t="s">
        <v>200</v>
      </c>
      <c r="M17" s="244">
        <f>SUM(M18:M24)</f>
        <v>98518</v>
      </c>
      <c r="N17" s="244">
        <f>SUM(N18:N24)</f>
        <v>79472</v>
      </c>
      <c r="O17" s="244">
        <f>SUM(O18:O24)</f>
        <v>177990</v>
      </c>
      <c r="P17" s="291"/>
      <c r="Q17" s="350"/>
    </row>
    <row r="18" spans="1:20" x14ac:dyDescent="0.3">
      <c r="A18" s="340"/>
      <c r="B18" s="341"/>
      <c r="C18" s="342"/>
      <c r="D18" s="342"/>
      <c r="E18" s="342"/>
      <c r="F18" s="287"/>
      <c r="G18" s="344"/>
      <c r="H18" s="342"/>
      <c r="I18" s="287"/>
      <c r="J18" s="349"/>
      <c r="K18" s="352">
        <v>4.0999999999999996</v>
      </c>
      <c r="L18" s="351" t="s">
        <v>237</v>
      </c>
      <c r="M18" s="353">
        <v>1800</v>
      </c>
      <c r="N18" s="353">
        <f>1200*7</f>
        <v>8400</v>
      </c>
      <c r="O18" s="354">
        <f t="shared" ref="O18:O25" si="1">M18+N18</f>
        <v>10200</v>
      </c>
      <c r="P18" s="638"/>
      <c r="Q18" s="350" t="s">
        <v>268</v>
      </c>
    </row>
    <row r="19" spans="1:20" x14ac:dyDescent="0.3">
      <c r="A19" s="340"/>
      <c r="B19" s="341"/>
      <c r="C19" s="342"/>
      <c r="D19" s="342"/>
      <c r="E19" s="342"/>
      <c r="F19" s="287"/>
      <c r="G19" s="344"/>
      <c r="H19" s="342"/>
      <c r="I19" s="287"/>
      <c r="J19" s="349"/>
      <c r="K19" s="352">
        <v>4.2</v>
      </c>
      <c r="L19" s="355" t="s">
        <v>146</v>
      </c>
      <c r="M19" s="353">
        <v>8980</v>
      </c>
      <c r="N19" s="353">
        <f>M19/5*7</f>
        <v>12572</v>
      </c>
      <c r="O19" s="356">
        <f t="shared" si="1"/>
        <v>21552</v>
      </c>
      <c r="P19" s="639"/>
      <c r="Q19" s="350" t="s">
        <v>269</v>
      </c>
    </row>
    <row r="20" spans="1:20" x14ac:dyDescent="0.3">
      <c r="A20" s="340"/>
      <c r="B20" s="341"/>
      <c r="C20" s="342"/>
      <c r="D20" s="342"/>
      <c r="E20" s="342"/>
      <c r="F20" s="287"/>
      <c r="G20" s="344"/>
      <c r="H20" s="342"/>
      <c r="I20" s="287"/>
      <c r="J20" s="349"/>
      <c r="K20" s="352">
        <v>4.3</v>
      </c>
      <c r="L20" s="357" t="s">
        <v>143</v>
      </c>
      <c r="M20" s="353">
        <v>18000</v>
      </c>
      <c r="N20" s="353">
        <v>20000</v>
      </c>
      <c r="O20" s="354">
        <f t="shared" si="1"/>
        <v>38000</v>
      </c>
      <c r="P20" s="638"/>
      <c r="Q20" s="350" t="s">
        <v>261</v>
      </c>
    </row>
    <row r="21" spans="1:20" x14ac:dyDescent="0.3">
      <c r="A21" s="340"/>
      <c r="B21" s="341"/>
      <c r="C21" s="342"/>
      <c r="D21" s="342"/>
      <c r="E21" s="342"/>
      <c r="F21" s="287"/>
      <c r="G21" s="344"/>
      <c r="H21" s="342"/>
      <c r="I21" s="287"/>
      <c r="J21" s="349"/>
      <c r="K21" s="352">
        <v>4.4000000000000004</v>
      </c>
      <c r="L21" s="357" t="s">
        <v>147</v>
      </c>
      <c r="M21" s="353">
        <v>3430</v>
      </c>
      <c r="N21" s="353">
        <v>10000</v>
      </c>
      <c r="O21" s="354">
        <f t="shared" si="1"/>
        <v>13430</v>
      </c>
      <c r="P21" s="638"/>
      <c r="Q21" s="350" t="s">
        <v>273</v>
      </c>
    </row>
    <row r="22" spans="1:20" x14ac:dyDescent="0.3">
      <c r="A22" s="340"/>
      <c r="B22" s="341"/>
      <c r="C22" s="342"/>
      <c r="D22" s="342"/>
      <c r="E22" s="342"/>
      <c r="F22" s="287"/>
      <c r="G22" s="344"/>
      <c r="H22" s="342"/>
      <c r="I22" s="287"/>
      <c r="J22" s="349"/>
      <c r="K22" s="352">
        <v>4.5</v>
      </c>
      <c r="L22" s="357" t="s">
        <v>140</v>
      </c>
      <c r="M22" s="353">
        <v>42428</v>
      </c>
      <c r="N22" s="353">
        <v>20000</v>
      </c>
      <c r="O22" s="354">
        <f t="shared" si="1"/>
        <v>62428</v>
      </c>
      <c r="P22" s="638"/>
      <c r="Q22" s="350" t="s">
        <v>276</v>
      </c>
    </row>
    <row r="23" spans="1:20" x14ac:dyDescent="0.3">
      <c r="A23" s="340"/>
      <c r="B23" s="341"/>
      <c r="C23" s="342"/>
      <c r="D23" s="342"/>
      <c r="E23" s="342"/>
      <c r="F23" s="287"/>
      <c r="G23" s="344"/>
      <c r="H23" s="342"/>
      <c r="I23" s="287"/>
      <c r="J23" s="349"/>
      <c r="K23" s="352">
        <v>4.5999999999999996</v>
      </c>
      <c r="L23" s="357" t="s">
        <v>142</v>
      </c>
      <c r="M23" s="353">
        <v>21000</v>
      </c>
      <c r="N23" s="353">
        <v>5000</v>
      </c>
      <c r="O23" s="354">
        <f t="shared" si="1"/>
        <v>26000</v>
      </c>
      <c r="P23" s="638"/>
      <c r="Q23" s="350" t="s">
        <v>262</v>
      </c>
    </row>
    <row r="24" spans="1:20" x14ac:dyDescent="0.3">
      <c r="A24" s="340"/>
      <c r="B24" s="341"/>
      <c r="C24" s="342"/>
      <c r="D24" s="342"/>
      <c r="E24" s="342"/>
      <c r="F24" s="287"/>
      <c r="G24" s="344"/>
      <c r="H24" s="342"/>
      <c r="I24" s="287"/>
      <c r="J24" s="349"/>
      <c r="K24" s="352">
        <v>4.5999999999999996</v>
      </c>
      <c r="L24" s="357" t="s">
        <v>236</v>
      </c>
      <c r="M24" s="353">
        <f>1440*2</f>
        <v>2880</v>
      </c>
      <c r="N24" s="353">
        <v>3500</v>
      </c>
      <c r="O24" s="354">
        <f t="shared" si="1"/>
        <v>6380</v>
      </c>
      <c r="P24" s="638"/>
      <c r="Q24" s="350" t="s">
        <v>190</v>
      </c>
    </row>
    <row r="25" spans="1:20" x14ac:dyDescent="0.3">
      <c r="A25" s="340"/>
      <c r="B25" s="340"/>
      <c r="C25" s="288"/>
      <c r="D25" s="288"/>
      <c r="E25" s="288"/>
      <c r="F25" s="287"/>
      <c r="G25" s="344"/>
      <c r="H25" s="288"/>
      <c r="I25" s="287"/>
      <c r="J25" s="349"/>
      <c r="K25" s="346">
        <f>K17+1</f>
        <v>5</v>
      </c>
      <c r="L25" s="358" t="s">
        <v>10</v>
      </c>
      <c r="M25" s="353">
        <f>10600+2000</f>
        <v>12600</v>
      </c>
      <c r="N25" s="353">
        <v>10000</v>
      </c>
      <c r="O25" s="244">
        <f t="shared" si="1"/>
        <v>22600</v>
      </c>
      <c r="P25" s="291"/>
      <c r="Q25" s="350" t="s">
        <v>275</v>
      </c>
    </row>
    <row r="26" spans="1:20" x14ac:dyDescent="0.3">
      <c r="A26" s="340"/>
      <c r="B26" s="340"/>
      <c r="C26" s="288"/>
      <c r="D26" s="288"/>
      <c r="E26" s="288"/>
      <c r="F26" s="287"/>
      <c r="G26" s="344"/>
      <c r="H26" s="288"/>
      <c r="I26" s="287"/>
      <c r="J26" s="349"/>
      <c r="K26" s="346">
        <f>K25+1</f>
        <v>6</v>
      </c>
      <c r="L26" s="295" t="s">
        <v>196</v>
      </c>
      <c r="M26" s="353">
        <v>34430</v>
      </c>
      <c r="N26" s="353">
        <v>0</v>
      </c>
      <c r="O26" s="246">
        <f>SUM(M26:N26)</f>
        <v>34430</v>
      </c>
      <c r="P26" s="640"/>
      <c r="Q26" s="350" t="s">
        <v>272</v>
      </c>
    </row>
    <row r="27" spans="1:20" x14ac:dyDescent="0.3">
      <c r="A27" s="340"/>
      <c r="B27" s="340"/>
      <c r="C27" s="288"/>
      <c r="D27" s="288"/>
      <c r="E27" s="288"/>
      <c r="F27" s="287"/>
      <c r="G27" s="344"/>
      <c r="H27" s="288"/>
      <c r="I27" s="287"/>
      <c r="J27" s="349"/>
      <c r="K27" s="346">
        <f t="shared" ref="K27:K30" si="2">K26+1</f>
        <v>7</v>
      </c>
      <c r="L27" s="296" t="s">
        <v>8</v>
      </c>
      <c r="M27" s="353">
        <v>18667</v>
      </c>
      <c r="N27" s="353">
        <f>45000-M27+8000</f>
        <v>34333</v>
      </c>
      <c r="O27" s="244">
        <f>SUM(M27:N27)</f>
        <v>53000</v>
      </c>
      <c r="P27" s="291"/>
      <c r="Q27" s="350" t="s">
        <v>187</v>
      </c>
    </row>
    <row r="28" spans="1:20" x14ac:dyDescent="0.3">
      <c r="A28" s="340"/>
      <c r="B28" s="340"/>
      <c r="C28" s="288"/>
      <c r="D28" s="288"/>
      <c r="E28" s="288"/>
      <c r="F28" s="359"/>
      <c r="G28" s="360"/>
      <c r="H28" s="288"/>
      <c r="I28" s="359"/>
      <c r="J28" s="361"/>
      <c r="K28" s="346">
        <f t="shared" si="2"/>
        <v>8</v>
      </c>
      <c r="L28" s="296" t="s">
        <v>183</v>
      </c>
      <c r="M28" s="353">
        <v>2304</v>
      </c>
      <c r="N28" s="353">
        <f>8000-M28</f>
        <v>5696</v>
      </c>
      <c r="O28" s="244">
        <f>M28+N28</f>
        <v>8000</v>
      </c>
      <c r="P28" s="291"/>
      <c r="Q28" s="350" t="s">
        <v>188</v>
      </c>
    </row>
    <row r="29" spans="1:20" x14ac:dyDescent="0.3">
      <c r="A29" s="362"/>
      <c r="B29" s="362"/>
      <c r="C29" s="307"/>
      <c r="D29" s="307"/>
      <c r="E29" s="307"/>
      <c r="F29" s="363"/>
      <c r="G29" s="360"/>
      <c r="H29" s="307"/>
      <c r="I29" s="359"/>
      <c r="J29" s="361"/>
      <c r="K29" s="346">
        <f t="shared" si="2"/>
        <v>9</v>
      </c>
      <c r="L29" s="297" t="s">
        <v>213</v>
      </c>
      <c r="M29" s="298">
        <v>4894</v>
      </c>
      <c r="N29" s="353">
        <f>10000-M29</f>
        <v>5106</v>
      </c>
      <c r="O29" s="298">
        <f>M29+N29</f>
        <v>10000</v>
      </c>
      <c r="P29" s="637"/>
      <c r="Q29" s="374" t="s">
        <v>286</v>
      </c>
    </row>
    <row r="30" spans="1:20" ht="19.5" thickBot="1" x14ac:dyDescent="0.35">
      <c r="A30" s="364"/>
      <c r="B30" s="364"/>
      <c r="C30" s="309"/>
      <c r="D30" s="309"/>
      <c r="E30" s="309"/>
      <c r="F30" s="365"/>
      <c r="G30" s="366"/>
      <c r="H30" s="309"/>
      <c r="I30" s="365"/>
      <c r="J30" s="367"/>
      <c r="K30" s="346">
        <f t="shared" si="2"/>
        <v>10</v>
      </c>
      <c r="L30" s="297" t="s">
        <v>205</v>
      </c>
      <c r="M30" s="297"/>
      <c r="N30" s="298">
        <v>943.32</v>
      </c>
      <c r="O30" s="298">
        <f>M30+N30</f>
        <v>943.32</v>
      </c>
      <c r="P30" s="637"/>
      <c r="Q30" s="374" t="s">
        <v>271</v>
      </c>
    </row>
    <row r="31" spans="1:20" ht="57" thickBot="1" x14ac:dyDescent="0.35">
      <c r="A31" s="371" t="s">
        <v>14</v>
      </c>
      <c r="B31" s="384" t="s">
        <v>53</v>
      </c>
      <c r="C31" s="321" t="s">
        <v>58</v>
      </c>
      <c r="D31" s="321" t="s">
        <v>211</v>
      </c>
      <c r="E31" s="299"/>
      <c r="F31" s="323" t="s">
        <v>218</v>
      </c>
      <c r="G31" s="321" t="s">
        <v>58</v>
      </c>
      <c r="H31" s="321" t="s">
        <v>211</v>
      </c>
      <c r="I31" s="323" t="s">
        <v>219</v>
      </c>
      <c r="J31" s="324" t="s">
        <v>212</v>
      </c>
      <c r="K31" s="324" t="s">
        <v>14</v>
      </c>
      <c r="L31" s="368" t="s">
        <v>54</v>
      </c>
      <c r="M31" s="688" t="s">
        <v>210</v>
      </c>
      <c r="N31" s="369" t="s">
        <v>219</v>
      </c>
      <c r="O31" s="324" t="s">
        <v>212</v>
      </c>
      <c r="P31" s="686"/>
      <c r="Q31" s="865"/>
      <c r="S31" s="330"/>
    </row>
    <row r="32" spans="1:20" ht="18.600000000000001" customHeight="1" thickBot="1" x14ac:dyDescent="0.4">
      <c r="A32" s="419"/>
      <c r="B32" s="730" t="s">
        <v>248</v>
      </c>
      <c r="C32" s="731"/>
      <c r="D32" s="732"/>
      <c r="E32" s="300"/>
      <c r="F32" s="301">
        <f>SUM(F33:F40)</f>
        <v>4071055.8</v>
      </c>
      <c r="G32" s="326"/>
      <c r="H32" s="326"/>
      <c r="I32" s="301">
        <f>SUM(I33:I40)</f>
        <v>6709256.4000000013</v>
      </c>
      <c r="J32" s="301">
        <f>SUM(J33:J40)</f>
        <v>10780312.200000003</v>
      </c>
      <c r="K32" s="371"/>
      <c r="L32" s="670" t="s">
        <v>248</v>
      </c>
      <c r="M32" s="433">
        <f>M33+M59+M63</f>
        <v>4098264.1</v>
      </c>
      <c r="N32" s="372">
        <f t="shared" ref="N32:O32" si="3">N33+N59+N63</f>
        <v>6682048.1040000003</v>
      </c>
      <c r="O32" s="372">
        <f t="shared" si="3"/>
        <v>10780312.204</v>
      </c>
      <c r="P32" s="641"/>
      <c r="Q32" s="865"/>
      <c r="S32" s="330">
        <f>J32-O32</f>
        <v>-3.9999969303607941E-3</v>
      </c>
      <c r="T32" s="330"/>
    </row>
    <row r="33" spans="1:20" ht="18" customHeight="1" x14ac:dyDescent="0.3">
      <c r="A33" s="726">
        <v>1</v>
      </c>
      <c r="B33" s="744" t="s">
        <v>217</v>
      </c>
      <c r="C33" s="727">
        <v>36</v>
      </c>
      <c r="D33" s="728">
        <v>20839.400000000001</v>
      </c>
      <c r="E33" s="373"/>
      <c r="F33" s="751">
        <f>C33*D33*5</f>
        <v>3751092</v>
      </c>
      <c r="G33" s="750">
        <v>42</v>
      </c>
      <c r="H33" s="746">
        <f>D33</f>
        <v>20839.400000000001</v>
      </c>
      <c r="I33" s="747">
        <f>G33*H33*7</f>
        <v>6126783.6000000006</v>
      </c>
      <c r="J33" s="739">
        <f>F33+I33</f>
        <v>9877875.6000000015</v>
      </c>
      <c r="K33" s="302" t="s">
        <v>31</v>
      </c>
      <c r="L33" s="303" t="s">
        <v>85</v>
      </c>
      <c r="M33" s="434">
        <f>SUM(M34:M58)</f>
        <v>3595764.1</v>
      </c>
      <c r="N33" s="435">
        <f>SUM(N34:N58)</f>
        <v>5764548.1040000003</v>
      </c>
      <c r="O33" s="304">
        <f>SUM(O34:O58)</f>
        <v>9360312.2039999999</v>
      </c>
      <c r="P33" s="635"/>
      <c r="Q33" s="374"/>
      <c r="S33" s="330"/>
      <c r="T33" s="330"/>
    </row>
    <row r="34" spans="1:20" ht="57.6" customHeight="1" x14ac:dyDescent="0.3">
      <c r="A34" s="726"/>
      <c r="B34" s="745"/>
      <c r="C34" s="700"/>
      <c r="D34" s="729"/>
      <c r="E34" s="291"/>
      <c r="F34" s="748"/>
      <c r="G34" s="717"/>
      <c r="H34" s="725"/>
      <c r="I34" s="748"/>
      <c r="J34" s="740"/>
      <c r="K34" s="288">
        <v>1</v>
      </c>
      <c r="L34" s="290" t="s">
        <v>15</v>
      </c>
      <c r="M34" s="353">
        <f>'Штатное расписание 25'!H23</f>
        <v>1460400</v>
      </c>
      <c r="N34" s="244">
        <f>'Штатное расписание 25'!O23+'Штатное расписание 25'!O36</f>
        <v>2832000</v>
      </c>
      <c r="O34" s="244">
        <f>M34+N34</f>
        <v>4292400</v>
      </c>
      <c r="P34" s="291"/>
      <c r="Q34" s="375" t="s">
        <v>201</v>
      </c>
      <c r="S34" s="330"/>
    </row>
    <row r="35" spans="1:20" ht="18.75" customHeight="1" x14ac:dyDescent="0.3">
      <c r="A35" s="702">
        <v>2</v>
      </c>
      <c r="B35" s="699" t="s">
        <v>79</v>
      </c>
      <c r="C35" s="700">
        <v>32.299999999999997</v>
      </c>
      <c r="D35" s="701">
        <v>255.6</v>
      </c>
      <c r="E35" s="291"/>
      <c r="F35" s="704">
        <f>C35*D35*5</f>
        <v>41279.399999999994</v>
      </c>
      <c r="G35" s="709">
        <f>G33</f>
        <v>42</v>
      </c>
      <c r="H35" s="749">
        <f>D35</f>
        <v>255.6</v>
      </c>
      <c r="I35" s="704">
        <f>G35*H35*7</f>
        <v>75146.399999999994</v>
      </c>
      <c r="J35" s="706">
        <f>F35+I35</f>
        <v>116425.79999999999</v>
      </c>
      <c r="K35" s="288">
        <f>K34+1</f>
        <v>2</v>
      </c>
      <c r="L35" s="290" t="s">
        <v>7</v>
      </c>
      <c r="M35" s="244">
        <f>'Штатное расписание 25'!E56</f>
        <v>441040.8</v>
      </c>
      <c r="N35" s="244">
        <f>'Штатное расписание 25'!L56+'Штатное расписание 25'!L57</f>
        <v>855264</v>
      </c>
      <c r="O35" s="244">
        <f>M35+N35</f>
        <v>1296304.8</v>
      </c>
      <c r="P35" s="291"/>
      <c r="Q35" s="374" t="s">
        <v>202</v>
      </c>
      <c r="S35" s="330"/>
    </row>
    <row r="36" spans="1:20" ht="18.75" customHeight="1" x14ac:dyDescent="0.3">
      <c r="A36" s="703"/>
      <c r="B36" s="699"/>
      <c r="C36" s="700"/>
      <c r="D36" s="701"/>
      <c r="E36" s="291"/>
      <c r="F36" s="704"/>
      <c r="G36" s="709"/>
      <c r="H36" s="749"/>
      <c r="I36" s="704"/>
      <c r="J36" s="707"/>
      <c r="K36" s="288">
        <f t="shared" ref="K36:K58" si="4">K35+1</f>
        <v>3</v>
      </c>
      <c r="L36" s="290" t="s">
        <v>189</v>
      </c>
      <c r="M36" s="244">
        <v>2127</v>
      </c>
      <c r="N36" s="244">
        <f>20000-M36</f>
        <v>17873</v>
      </c>
      <c r="O36" s="244">
        <f>M36+N36</f>
        <v>20000</v>
      </c>
      <c r="P36" s="291"/>
      <c r="Q36" s="374" t="s">
        <v>203</v>
      </c>
    </row>
    <row r="37" spans="1:20" ht="18.75" customHeight="1" x14ac:dyDescent="0.3">
      <c r="A37" s="703"/>
      <c r="B37" s="699"/>
      <c r="C37" s="700"/>
      <c r="D37" s="701"/>
      <c r="E37" s="698"/>
      <c r="F37" s="704"/>
      <c r="G37" s="709"/>
      <c r="H37" s="749"/>
      <c r="I37" s="704"/>
      <c r="J37" s="708"/>
      <c r="K37" s="288">
        <f t="shared" si="4"/>
        <v>4</v>
      </c>
      <c r="L37" s="290" t="s">
        <v>178</v>
      </c>
      <c r="M37" s="244">
        <v>27215</v>
      </c>
      <c r="N37" s="244">
        <f>120000-M37</f>
        <v>92785</v>
      </c>
      <c r="O37" s="244">
        <f t="shared" ref="O37" si="5">M37+N37</f>
        <v>120000</v>
      </c>
      <c r="P37" s="291"/>
      <c r="Q37" s="374" t="s">
        <v>203</v>
      </c>
    </row>
    <row r="38" spans="1:20" x14ac:dyDescent="0.3">
      <c r="A38" s="703">
        <v>3</v>
      </c>
      <c r="B38" s="699" t="s">
        <v>80</v>
      </c>
      <c r="C38" s="700">
        <v>32.299999999999997</v>
      </c>
      <c r="D38" s="701">
        <v>1725.6</v>
      </c>
      <c r="E38" s="698"/>
      <c r="F38" s="704">
        <f>C38*D38*5</f>
        <v>278684.39999999997</v>
      </c>
      <c r="G38" s="709">
        <f>G35</f>
        <v>42</v>
      </c>
      <c r="H38" s="749">
        <v>1725.6</v>
      </c>
      <c r="I38" s="704">
        <f>G38*H38*7</f>
        <v>507326.39999999997</v>
      </c>
      <c r="J38" s="706">
        <f>F38+I38</f>
        <v>786010.79999999993</v>
      </c>
      <c r="K38" s="288">
        <f t="shared" si="4"/>
        <v>5</v>
      </c>
      <c r="L38" s="290" t="s">
        <v>227</v>
      </c>
      <c r="M38" s="244">
        <v>0</v>
      </c>
      <c r="N38" s="244">
        <v>54000</v>
      </c>
      <c r="O38" s="244">
        <f t="shared" ref="O38:O53" si="6">M38+N38</f>
        <v>54000</v>
      </c>
      <c r="P38" s="291"/>
      <c r="Q38" s="374" t="s">
        <v>198</v>
      </c>
    </row>
    <row r="39" spans="1:20" x14ac:dyDescent="0.3">
      <c r="A39" s="703"/>
      <c r="B39" s="699"/>
      <c r="C39" s="700"/>
      <c r="D39" s="701"/>
      <c r="E39" s="698"/>
      <c r="F39" s="704"/>
      <c r="G39" s="709"/>
      <c r="H39" s="749"/>
      <c r="I39" s="704"/>
      <c r="J39" s="707"/>
      <c r="K39" s="288">
        <f t="shared" si="4"/>
        <v>6</v>
      </c>
      <c r="L39" s="290" t="s">
        <v>19</v>
      </c>
      <c r="M39" s="244">
        <v>0</v>
      </c>
      <c r="N39" s="244">
        <v>10000</v>
      </c>
      <c r="O39" s="244">
        <f t="shared" si="6"/>
        <v>10000</v>
      </c>
      <c r="P39" s="291"/>
      <c r="Q39" s="374" t="s">
        <v>198</v>
      </c>
    </row>
    <row r="40" spans="1:20" x14ac:dyDescent="0.3">
      <c r="A40" s="705"/>
      <c r="B40" s="699"/>
      <c r="C40" s="700"/>
      <c r="D40" s="701"/>
      <c r="E40" s="290"/>
      <c r="F40" s="704"/>
      <c r="G40" s="709"/>
      <c r="H40" s="749"/>
      <c r="I40" s="704"/>
      <c r="J40" s="708"/>
      <c r="K40" s="288">
        <f t="shared" si="4"/>
        <v>7</v>
      </c>
      <c r="L40" s="290" t="s">
        <v>184</v>
      </c>
      <c r="M40" s="244">
        <f>104299.06*5</f>
        <v>521495.3</v>
      </c>
      <c r="N40" s="244">
        <f>104299.06*7</f>
        <v>730093.41999999993</v>
      </c>
      <c r="O40" s="244">
        <f t="shared" si="6"/>
        <v>1251588.72</v>
      </c>
      <c r="P40" s="291"/>
      <c r="Q40" s="374" t="s">
        <v>191</v>
      </c>
    </row>
    <row r="41" spans="1:20" x14ac:dyDescent="0.3">
      <c r="A41" s="678"/>
      <c r="B41" s="683"/>
      <c r="C41" s="673"/>
      <c r="D41" s="684"/>
      <c r="E41" s="290"/>
      <c r="F41" s="674"/>
      <c r="G41" s="674"/>
      <c r="H41" s="673"/>
      <c r="I41" s="674"/>
      <c r="J41" s="439"/>
      <c r="K41" s="288">
        <f t="shared" si="4"/>
        <v>8</v>
      </c>
      <c r="L41" s="290" t="s">
        <v>186</v>
      </c>
      <c r="M41" s="244">
        <v>216000</v>
      </c>
      <c r="N41" s="244">
        <v>0</v>
      </c>
      <c r="O41" s="244">
        <f t="shared" si="6"/>
        <v>216000</v>
      </c>
      <c r="P41" s="291"/>
      <c r="Q41" s="374" t="s">
        <v>194</v>
      </c>
    </row>
    <row r="42" spans="1:20" x14ac:dyDescent="0.3">
      <c r="A42" s="678"/>
      <c r="B42" s="683"/>
      <c r="C42" s="673"/>
      <c r="D42" s="684"/>
      <c r="E42" s="290"/>
      <c r="F42" s="674"/>
      <c r="G42" s="674"/>
      <c r="H42" s="673"/>
      <c r="I42" s="674"/>
      <c r="J42" s="439"/>
      <c r="K42" s="288">
        <f t="shared" si="4"/>
        <v>9</v>
      </c>
      <c r="L42" s="290" t="s">
        <v>22</v>
      </c>
      <c r="M42" s="244">
        <v>0</v>
      </c>
      <c r="N42" s="244">
        <v>9000</v>
      </c>
      <c r="O42" s="244">
        <f t="shared" si="6"/>
        <v>9000</v>
      </c>
      <c r="P42" s="291"/>
      <c r="Q42" s="374" t="s">
        <v>197</v>
      </c>
    </row>
    <row r="43" spans="1:20" x14ac:dyDescent="0.3">
      <c r="A43" s="678"/>
      <c r="B43" s="683"/>
      <c r="C43" s="673"/>
      <c r="D43" s="684"/>
      <c r="E43" s="290"/>
      <c r="F43" s="674"/>
      <c r="G43" s="674"/>
      <c r="H43" s="673"/>
      <c r="I43" s="674"/>
      <c r="J43" s="439"/>
      <c r="K43" s="288">
        <f t="shared" si="4"/>
        <v>10</v>
      </c>
      <c r="L43" s="290" t="s">
        <v>229</v>
      </c>
      <c r="M43" s="244">
        <v>0</v>
      </c>
      <c r="N43" s="244">
        <v>160886.60400000002</v>
      </c>
      <c r="O43" s="244">
        <f t="shared" si="6"/>
        <v>160886.60400000002</v>
      </c>
      <c r="P43" s="291"/>
      <c r="Q43" s="374" t="s">
        <v>191</v>
      </c>
    </row>
    <row r="44" spans="1:20" x14ac:dyDescent="0.3">
      <c r="A44" s="678"/>
      <c r="B44" s="683"/>
      <c r="C44" s="673"/>
      <c r="D44" s="684"/>
      <c r="E44" s="290"/>
      <c r="F44" s="674"/>
      <c r="G44" s="674"/>
      <c r="H44" s="673"/>
      <c r="I44" s="674"/>
      <c r="J44" s="439"/>
      <c r="K44" s="288">
        <f t="shared" si="4"/>
        <v>11</v>
      </c>
      <c r="L44" s="290" t="s">
        <v>181</v>
      </c>
      <c r="M44" s="244">
        <f>22000*5</f>
        <v>110000</v>
      </c>
      <c r="N44" s="244">
        <f>22000*2+28400*5</f>
        <v>186000</v>
      </c>
      <c r="O44" s="244">
        <f t="shared" si="6"/>
        <v>296000</v>
      </c>
      <c r="P44" s="291"/>
      <c r="Q44" s="374" t="s">
        <v>192</v>
      </c>
    </row>
    <row r="45" spans="1:20" x14ac:dyDescent="0.3">
      <c r="A45" s="288"/>
      <c r="B45" s="288"/>
      <c r="C45" s="288"/>
      <c r="D45" s="346"/>
      <c r="E45" s="290"/>
      <c r="F45" s="287"/>
      <c r="G45" s="287"/>
      <c r="H45" s="288"/>
      <c r="I45" s="287"/>
      <c r="J45" s="289"/>
      <c r="K45" s="288">
        <f t="shared" si="4"/>
        <v>12</v>
      </c>
      <c r="L45" s="376" t="s">
        <v>228</v>
      </c>
      <c r="M45" s="377">
        <v>142370</v>
      </c>
      <c r="N45" s="377">
        <f>35000+91140-32000</f>
        <v>94140</v>
      </c>
      <c r="O45" s="244">
        <f t="shared" si="6"/>
        <v>236510</v>
      </c>
      <c r="P45" s="291"/>
      <c r="Q45" s="374" t="s">
        <v>195</v>
      </c>
    </row>
    <row r="46" spans="1:20" x14ac:dyDescent="0.3">
      <c r="A46" s="288"/>
      <c r="B46" s="288"/>
      <c r="C46" s="288"/>
      <c r="D46" s="346"/>
      <c r="E46" s="290"/>
      <c r="F46" s="287"/>
      <c r="G46" s="287"/>
      <c r="H46" s="288"/>
      <c r="I46" s="287"/>
      <c r="J46" s="289"/>
      <c r="K46" s="288">
        <f t="shared" si="4"/>
        <v>13</v>
      </c>
      <c r="L46" s="290" t="s">
        <v>21</v>
      </c>
      <c r="M46" s="244">
        <f>9786+100000</f>
        <v>109786</v>
      </c>
      <c r="N46" s="244">
        <v>0</v>
      </c>
      <c r="O46" s="244">
        <f t="shared" si="6"/>
        <v>109786</v>
      </c>
      <c r="P46" s="291"/>
      <c r="Q46" s="374" t="s">
        <v>263</v>
      </c>
    </row>
    <row r="47" spans="1:20" x14ac:dyDescent="0.3">
      <c r="A47" s="288"/>
      <c r="B47" s="288"/>
      <c r="C47" s="288"/>
      <c r="D47" s="346"/>
      <c r="E47" s="290"/>
      <c r="F47" s="287"/>
      <c r="G47" s="287"/>
      <c r="H47" s="288"/>
      <c r="I47" s="287"/>
      <c r="J47" s="289"/>
      <c r="K47" s="288">
        <f t="shared" si="4"/>
        <v>14</v>
      </c>
      <c r="L47" s="290" t="s">
        <v>232</v>
      </c>
      <c r="M47" s="244">
        <v>0</v>
      </c>
      <c r="N47" s="244">
        <v>15000</v>
      </c>
      <c r="O47" s="244">
        <f t="shared" si="6"/>
        <v>15000</v>
      </c>
      <c r="P47" s="291"/>
      <c r="Q47" s="374" t="s">
        <v>284</v>
      </c>
    </row>
    <row r="48" spans="1:20" x14ac:dyDescent="0.3">
      <c r="A48" s="288"/>
      <c r="B48" s="288"/>
      <c r="C48" s="288"/>
      <c r="D48" s="346"/>
      <c r="E48" s="290"/>
      <c r="F48" s="287"/>
      <c r="G48" s="287"/>
      <c r="H48" s="288"/>
      <c r="I48" s="287"/>
      <c r="J48" s="289"/>
      <c r="K48" s="288">
        <f t="shared" si="4"/>
        <v>15</v>
      </c>
      <c r="L48" s="290" t="s">
        <v>238</v>
      </c>
      <c r="M48" s="244">
        <v>0</v>
      </c>
      <c r="N48" s="244">
        <v>25000</v>
      </c>
      <c r="O48" s="244">
        <f t="shared" si="6"/>
        <v>25000</v>
      </c>
      <c r="P48" s="291"/>
      <c r="Q48" s="374" t="s">
        <v>285</v>
      </c>
    </row>
    <row r="49" spans="1:22" x14ac:dyDescent="0.3">
      <c r="A49" s="288"/>
      <c r="B49" s="288"/>
      <c r="C49" s="288"/>
      <c r="D49" s="346"/>
      <c r="E49" s="290"/>
      <c r="F49" s="287"/>
      <c r="G49" s="287"/>
      <c r="H49" s="288"/>
      <c r="I49" s="287"/>
      <c r="J49" s="289"/>
      <c r="K49" s="288">
        <f t="shared" si="4"/>
        <v>16</v>
      </c>
      <c r="L49" s="290" t="s">
        <v>23</v>
      </c>
      <c r="M49" s="244">
        <v>0</v>
      </c>
      <c r="N49" s="244">
        <v>85000</v>
      </c>
      <c r="O49" s="244">
        <f t="shared" si="6"/>
        <v>85000</v>
      </c>
      <c r="P49" s="291"/>
      <c r="Q49" s="374" t="s">
        <v>283</v>
      </c>
    </row>
    <row r="50" spans="1:22" x14ac:dyDescent="0.3">
      <c r="A50" s="288"/>
      <c r="B50" s="288"/>
      <c r="C50" s="288"/>
      <c r="D50" s="346"/>
      <c r="E50" s="290"/>
      <c r="F50" s="287"/>
      <c r="G50" s="287"/>
      <c r="H50" s="288"/>
      <c r="I50" s="287"/>
      <c r="J50" s="289"/>
      <c r="K50" s="288">
        <f t="shared" si="4"/>
        <v>17</v>
      </c>
      <c r="L50" s="290" t="s">
        <v>11</v>
      </c>
      <c r="M50" s="244">
        <v>0</v>
      </c>
      <c r="N50" s="244">
        <v>40000</v>
      </c>
      <c r="O50" s="244">
        <f t="shared" si="6"/>
        <v>40000</v>
      </c>
      <c r="P50" s="291"/>
      <c r="Q50" s="374" t="s">
        <v>282</v>
      </c>
    </row>
    <row r="51" spans="1:22" x14ac:dyDescent="0.3">
      <c r="A51" s="288"/>
      <c r="B51" s="288"/>
      <c r="C51" s="288"/>
      <c r="D51" s="346"/>
      <c r="E51" s="290"/>
      <c r="F51" s="287"/>
      <c r="G51" s="287"/>
      <c r="H51" s="288"/>
      <c r="I51" s="287"/>
      <c r="J51" s="289"/>
      <c r="K51" s="288">
        <f t="shared" si="4"/>
        <v>18</v>
      </c>
      <c r="L51" s="290" t="s">
        <v>235</v>
      </c>
      <c r="M51" s="244">
        <f>4346*5</f>
        <v>21730</v>
      </c>
      <c r="N51" s="244">
        <f>4346*7</f>
        <v>30422</v>
      </c>
      <c r="O51" s="244">
        <f t="shared" si="6"/>
        <v>52152</v>
      </c>
      <c r="P51" s="291"/>
      <c r="Q51" s="374" t="s">
        <v>193</v>
      </c>
    </row>
    <row r="52" spans="1:22" x14ac:dyDescent="0.3">
      <c r="A52" s="288"/>
      <c r="B52" s="288"/>
      <c r="C52" s="288"/>
      <c r="D52" s="346"/>
      <c r="E52" s="290"/>
      <c r="F52" s="287"/>
      <c r="G52" s="287"/>
      <c r="H52" s="288"/>
      <c r="I52" s="287"/>
      <c r="J52" s="289"/>
      <c r="K52" s="288">
        <f t="shared" si="4"/>
        <v>19</v>
      </c>
      <c r="L52" s="290" t="s">
        <v>233</v>
      </c>
      <c r="M52" s="244">
        <f>350000+40000-100000</f>
        <v>290000</v>
      </c>
      <c r="N52" s="244">
        <f>60000+40000+40000+8000</f>
        <v>148000</v>
      </c>
      <c r="O52" s="244">
        <f t="shared" si="6"/>
        <v>438000</v>
      </c>
      <c r="P52" s="291"/>
      <c r="Q52" s="374" t="s">
        <v>263</v>
      </c>
    </row>
    <row r="53" spans="1:22" x14ac:dyDescent="0.3">
      <c r="A53" s="288"/>
      <c r="B53" s="288"/>
      <c r="C53" s="288"/>
      <c r="D53" s="346"/>
      <c r="E53" s="290"/>
      <c r="F53" s="287"/>
      <c r="G53" s="287"/>
      <c r="H53" s="288"/>
      <c r="I53" s="287"/>
      <c r="J53" s="289"/>
      <c r="K53" s="288">
        <f t="shared" si="4"/>
        <v>20</v>
      </c>
      <c r="L53" s="290" t="s">
        <v>29</v>
      </c>
      <c r="M53" s="244">
        <v>0</v>
      </c>
      <c r="N53" s="244">
        <v>70000</v>
      </c>
      <c r="O53" s="244">
        <f t="shared" si="6"/>
        <v>70000</v>
      </c>
      <c r="P53" s="291"/>
      <c r="Q53" s="374" t="s">
        <v>263</v>
      </c>
      <c r="R53" s="679"/>
      <c r="S53" s="679"/>
    </row>
    <row r="54" spans="1:22" x14ac:dyDescent="0.3">
      <c r="A54" s="288"/>
      <c r="B54" s="288"/>
      <c r="C54" s="288"/>
      <c r="D54" s="346"/>
      <c r="E54" s="290"/>
      <c r="F54" s="287"/>
      <c r="G54" s="287"/>
      <c r="H54" s="288"/>
      <c r="I54" s="287"/>
      <c r="J54" s="440"/>
      <c r="K54" s="288">
        <f t="shared" si="4"/>
        <v>21</v>
      </c>
      <c r="L54" s="290" t="s">
        <v>185</v>
      </c>
      <c r="M54" s="244">
        <v>142000</v>
      </c>
      <c r="N54" s="244">
        <f>500000-M54-276000</f>
        <v>82000</v>
      </c>
      <c r="O54" s="244">
        <f t="shared" ref="O54:O57" si="7">M54+N54</f>
        <v>224000</v>
      </c>
      <c r="P54" s="291"/>
      <c r="Q54" s="374" t="s">
        <v>274</v>
      </c>
    </row>
    <row r="55" spans="1:22" x14ac:dyDescent="0.3">
      <c r="A55" s="288"/>
      <c r="B55" s="288"/>
      <c r="C55" s="288"/>
      <c r="D55" s="346"/>
      <c r="E55" s="290"/>
      <c r="F55" s="287"/>
      <c r="G55" s="287"/>
      <c r="H55" s="288"/>
      <c r="I55" s="287"/>
      <c r="J55" s="440"/>
      <c r="K55" s="288">
        <f t="shared" si="4"/>
        <v>22</v>
      </c>
      <c r="L55" s="290" t="s">
        <v>179</v>
      </c>
      <c r="M55" s="244">
        <v>101000</v>
      </c>
      <c r="N55" s="244">
        <f>7*25000</f>
        <v>175000</v>
      </c>
      <c r="O55" s="244">
        <f t="shared" si="7"/>
        <v>276000</v>
      </c>
      <c r="P55" s="291"/>
      <c r="Q55" s="374" t="s">
        <v>281</v>
      </c>
    </row>
    <row r="56" spans="1:22" x14ac:dyDescent="0.3">
      <c r="A56" s="288"/>
      <c r="B56" s="288"/>
      <c r="C56" s="288"/>
      <c r="D56" s="346"/>
      <c r="E56" s="290"/>
      <c r="F56" s="287"/>
      <c r="G56" s="287"/>
      <c r="H56" s="288"/>
      <c r="I56" s="287"/>
      <c r="J56" s="289"/>
      <c r="K56" s="288">
        <f t="shared" si="4"/>
        <v>23</v>
      </c>
      <c r="L56" s="290" t="s">
        <v>47</v>
      </c>
      <c r="M56" s="244">
        <v>8800</v>
      </c>
      <c r="N56" s="244">
        <f>40000-M56</f>
        <v>31200</v>
      </c>
      <c r="O56" s="244">
        <f t="shared" si="7"/>
        <v>40000</v>
      </c>
      <c r="P56" s="291"/>
      <c r="Q56" s="350" t="s">
        <v>273</v>
      </c>
    </row>
    <row r="57" spans="1:22" x14ac:dyDescent="0.3">
      <c r="A57" s="288"/>
      <c r="B57" s="288"/>
      <c r="C57" s="288"/>
      <c r="D57" s="346"/>
      <c r="E57" s="290"/>
      <c r="F57" s="287"/>
      <c r="G57" s="287"/>
      <c r="H57" s="288"/>
      <c r="I57" s="287"/>
      <c r="J57" s="289"/>
      <c r="K57" s="288">
        <f t="shared" si="4"/>
        <v>24</v>
      </c>
      <c r="L57" s="290" t="s">
        <v>125</v>
      </c>
      <c r="M57" s="244">
        <v>1800</v>
      </c>
      <c r="N57" s="244">
        <f>20000-M57+2684.08</f>
        <v>20884.080000000002</v>
      </c>
      <c r="O57" s="244">
        <f t="shared" si="7"/>
        <v>22684.080000000002</v>
      </c>
      <c r="P57" s="291"/>
      <c r="Q57" s="350" t="s">
        <v>273</v>
      </c>
      <c r="V57" s="380"/>
    </row>
    <row r="58" spans="1:22" ht="19.5" thickBot="1" x14ac:dyDescent="0.35">
      <c r="A58" s="288"/>
      <c r="B58" s="288"/>
      <c r="C58" s="288"/>
      <c r="D58" s="346"/>
      <c r="E58" s="290"/>
      <c r="F58" s="287"/>
      <c r="G58" s="287"/>
      <c r="H58" s="288"/>
      <c r="I58" s="287"/>
      <c r="J58" s="441"/>
      <c r="K58" s="307">
        <f t="shared" si="4"/>
        <v>25</v>
      </c>
      <c r="L58" s="436" t="s">
        <v>205</v>
      </c>
      <c r="M58" s="437"/>
      <c r="N58" s="437"/>
      <c r="O58" s="298"/>
      <c r="P58" s="637"/>
      <c r="Q58" s="374" t="s">
        <v>271</v>
      </c>
      <c r="S58" s="330"/>
    </row>
    <row r="59" spans="1:22" ht="19.5" thickBot="1" x14ac:dyDescent="0.35">
      <c r="A59" s="288"/>
      <c r="B59" s="288"/>
      <c r="C59" s="288"/>
      <c r="D59" s="346"/>
      <c r="E59" s="290"/>
      <c r="F59" s="287"/>
      <c r="G59" s="287"/>
      <c r="H59" s="288"/>
      <c r="I59" s="287"/>
      <c r="J59" s="345"/>
      <c r="K59" s="438" t="s">
        <v>34</v>
      </c>
      <c r="L59" s="300" t="s">
        <v>87</v>
      </c>
      <c r="M59" s="331">
        <f>SUM(M60:M62)</f>
        <v>502500</v>
      </c>
      <c r="N59" s="331">
        <f>SUM(N60:N62)</f>
        <v>667500</v>
      </c>
      <c r="O59" s="387">
        <f>SUM(O60:O62)</f>
        <v>1170000</v>
      </c>
      <c r="P59" s="427"/>
      <c r="Q59" s="374"/>
    </row>
    <row r="60" spans="1:22" x14ac:dyDescent="0.3">
      <c r="A60" s="288"/>
      <c r="B60" s="288"/>
      <c r="C60" s="288"/>
      <c r="D60" s="346"/>
      <c r="E60" s="290"/>
      <c r="F60" s="287"/>
      <c r="G60" s="287"/>
      <c r="H60" s="288"/>
      <c r="I60" s="287"/>
      <c r="J60" s="289"/>
      <c r="K60" s="337">
        <v>1</v>
      </c>
      <c r="L60" s="290" t="s">
        <v>32</v>
      </c>
      <c r="M60" s="339">
        <v>315000</v>
      </c>
      <c r="N60" s="244">
        <f>65000*7</f>
        <v>455000</v>
      </c>
      <c r="O60" s="244">
        <f>M60+N60</f>
        <v>770000</v>
      </c>
      <c r="P60" s="291"/>
      <c r="Q60" s="374" t="s">
        <v>264</v>
      </c>
    </row>
    <row r="61" spans="1:22" x14ac:dyDescent="0.3">
      <c r="A61" s="288"/>
      <c r="B61" s="288"/>
      <c r="C61" s="288"/>
      <c r="D61" s="346"/>
      <c r="E61" s="290"/>
      <c r="F61" s="287"/>
      <c r="G61" s="287"/>
      <c r="H61" s="288"/>
      <c r="I61" s="287"/>
      <c r="J61" s="289"/>
      <c r="K61" s="288">
        <v>2</v>
      </c>
      <c r="L61" s="290" t="s">
        <v>33</v>
      </c>
      <c r="M61" s="244">
        <v>20000</v>
      </c>
      <c r="N61" s="244">
        <v>30000</v>
      </c>
      <c r="O61" s="244">
        <f>M61+N61</f>
        <v>50000</v>
      </c>
      <c r="P61" s="291"/>
      <c r="Q61" s="374" t="s">
        <v>265</v>
      </c>
    </row>
    <row r="62" spans="1:22" ht="19.5" thickBot="1" x14ac:dyDescent="0.35">
      <c r="A62" s="307"/>
      <c r="B62" s="307"/>
      <c r="C62" s="307"/>
      <c r="D62" s="432"/>
      <c r="E62" s="290"/>
      <c r="F62" s="306"/>
      <c r="G62" s="306"/>
      <c r="H62" s="307"/>
      <c r="I62" s="306"/>
      <c r="J62" s="442"/>
      <c r="K62" s="309">
        <v>3</v>
      </c>
      <c r="L62" s="381" t="s">
        <v>244</v>
      </c>
      <c r="M62" s="382">
        <f>187500-M61</f>
        <v>167500</v>
      </c>
      <c r="N62" s="246">
        <f>262500-N61-50000</f>
        <v>182500</v>
      </c>
      <c r="O62" s="244">
        <f>M62+N62</f>
        <v>350000</v>
      </c>
      <c r="P62" s="291"/>
      <c r="Q62" s="374" t="s">
        <v>265</v>
      </c>
    </row>
    <row r="63" spans="1:22" ht="63.75" customHeight="1" thickBot="1" x14ac:dyDescent="0.35">
      <c r="A63" s="309"/>
      <c r="B63" s="309"/>
      <c r="C63" s="309"/>
      <c r="D63" s="332"/>
      <c r="E63" s="290"/>
      <c r="F63" s="308"/>
      <c r="G63" s="308"/>
      <c r="H63" s="309"/>
      <c r="I63" s="308"/>
      <c r="J63" s="443"/>
      <c r="K63" s="383" t="s">
        <v>86</v>
      </c>
      <c r="L63" s="384" t="s">
        <v>239</v>
      </c>
      <c r="M63" s="385">
        <v>0</v>
      </c>
      <c r="N63" s="386">
        <f>200000-40000+40000+50000</f>
        <v>250000</v>
      </c>
      <c r="O63" s="387">
        <f>M63+N63</f>
        <v>250000</v>
      </c>
      <c r="P63" s="427"/>
      <c r="Q63" s="374"/>
    </row>
    <row r="64" spans="1:22" ht="57" outlineLevel="1" thickBot="1" x14ac:dyDescent="0.35">
      <c r="A64" s="388" t="s">
        <v>35</v>
      </c>
      <c r="B64" s="733" t="s">
        <v>249</v>
      </c>
      <c r="C64" s="734"/>
      <c r="D64" s="735"/>
      <c r="E64" s="299"/>
      <c r="F64" s="323" t="s">
        <v>218</v>
      </c>
      <c r="G64" s="321" t="s">
        <v>58</v>
      </c>
      <c r="H64" s="321" t="s">
        <v>211</v>
      </c>
      <c r="I64" s="323" t="s">
        <v>219</v>
      </c>
      <c r="J64" s="324" t="s">
        <v>212</v>
      </c>
      <c r="K64" s="389" t="s">
        <v>35</v>
      </c>
      <c r="L64" s="390" t="s">
        <v>249</v>
      </c>
      <c r="M64" s="391" t="s">
        <v>210</v>
      </c>
      <c r="N64" s="369" t="s">
        <v>219</v>
      </c>
      <c r="O64" s="324" t="s">
        <v>212</v>
      </c>
      <c r="P64" s="686"/>
      <c r="Q64" s="374"/>
      <c r="S64" s="330"/>
    </row>
    <row r="65" spans="1:20" ht="21.75" outlineLevel="1" thickBot="1" x14ac:dyDescent="0.4">
      <c r="A65" s="388"/>
      <c r="B65" s="741" t="s">
        <v>248</v>
      </c>
      <c r="C65" s="742"/>
      <c r="D65" s="743"/>
      <c r="E65" s="388"/>
      <c r="F65" s="323">
        <f>SUM(F66:F71)</f>
        <v>957961</v>
      </c>
      <c r="G65" s="392"/>
      <c r="H65" s="321"/>
      <c r="I65" s="393">
        <f>SUM(I66:I71)</f>
        <v>1860579</v>
      </c>
      <c r="J65" s="394">
        <f>SUM(J66:J71)</f>
        <v>2818540</v>
      </c>
      <c r="K65" s="299"/>
      <c r="L65" s="671" t="s">
        <v>248</v>
      </c>
      <c r="M65" s="652">
        <f>SUM(M66:M71)</f>
        <v>945832</v>
      </c>
      <c r="N65" s="395">
        <f t="shared" ref="N65:O65" si="8">SUM(N66:N71)</f>
        <v>1872708</v>
      </c>
      <c r="O65" s="395">
        <f t="shared" si="8"/>
        <v>2818540</v>
      </c>
      <c r="P65" s="642"/>
      <c r="Q65" s="374"/>
      <c r="S65" s="330">
        <f>J65-O65</f>
        <v>0</v>
      </c>
      <c r="T65" s="330">
        <f>J65-O65</f>
        <v>0</v>
      </c>
    </row>
    <row r="66" spans="1:20" outlineLevel="1" x14ac:dyDescent="0.3">
      <c r="A66" s="322">
        <v>1</v>
      </c>
      <c r="B66" s="396" t="s">
        <v>81</v>
      </c>
      <c r="C66" s="444">
        <v>1150</v>
      </c>
      <c r="D66" s="397"/>
      <c r="E66" s="398"/>
      <c r="F66" s="339">
        <v>851502</v>
      </c>
      <c r="G66" s="399"/>
      <c r="H66" s="400"/>
      <c r="I66" s="401"/>
      <c r="J66" s="402">
        <f>F66</f>
        <v>851502</v>
      </c>
      <c r="K66" s="336">
        <v>1</v>
      </c>
      <c r="L66" s="376" t="s">
        <v>245</v>
      </c>
      <c r="M66" s="654">
        <v>611100</v>
      </c>
      <c r="N66" s="378"/>
      <c r="O66" s="403">
        <f>M66+N66</f>
        <v>611100</v>
      </c>
      <c r="P66" s="636"/>
      <c r="Q66" s="374" t="s">
        <v>204</v>
      </c>
    </row>
    <row r="67" spans="1:20" ht="37.5" outlineLevel="1" x14ac:dyDescent="0.3">
      <c r="A67" s="302">
        <v>2</v>
      </c>
      <c r="B67" s="404" t="s">
        <v>214</v>
      </c>
      <c r="C67" s="445">
        <v>2</v>
      </c>
      <c r="D67" s="406"/>
      <c r="E67" s="407"/>
      <c r="F67" s="403">
        <v>106459</v>
      </c>
      <c r="G67" s="408"/>
      <c r="H67" s="409"/>
      <c r="I67" s="410"/>
      <c r="J67" s="674">
        <f>F67</f>
        <v>106459</v>
      </c>
      <c r="K67" s="336">
        <f>K66+1</f>
        <v>2</v>
      </c>
      <c r="L67" s="376" t="s">
        <v>246</v>
      </c>
      <c r="M67" s="353">
        <f>144900+189000</f>
        <v>333900</v>
      </c>
      <c r="N67" s="378">
        <f>189000*2+5*210000</f>
        <v>1428000</v>
      </c>
      <c r="O67" s="403">
        <f>M67+N67</f>
        <v>1761900</v>
      </c>
      <c r="P67" s="640"/>
      <c r="Q67" s="374" t="s">
        <v>266</v>
      </c>
    </row>
    <row r="68" spans="1:20" outlineLevel="1" x14ac:dyDescent="0.3">
      <c r="A68" s="702">
        <v>3</v>
      </c>
      <c r="B68" s="722" t="s">
        <v>215</v>
      </c>
      <c r="C68" s="724"/>
      <c r="D68" s="724"/>
      <c r="E68" s="407"/>
      <c r="F68" s="724"/>
      <c r="G68" s="716">
        <v>12.6</v>
      </c>
      <c r="H68" s="718">
        <v>21095</v>
      </c>
      <c r="I68" s="720">
        <f>G68*H68*7</f>
        <v>1860579</v>
      </c>
      <c r="J68" s="704">
        <f>I68</f>
        <v>1860579</v>
      </c>
      <c r="K68" s="336">
        <f t="shared" ref="K68:K69" si="9">K67+1</f>
        <v>3</v>
      </c>
      <c r="L68" s="376" t="s">
        <v>278</v>
      </c>
      <c r="M68" s="353">
        <v>0</v>
      </c>
      <c r="N68" s="412">
        <f>'Штатное расписание 25'!O26+'Штатное расписание 25'!O39</f>
        <v>320000</v>
      </c>
      <c r="O68" s="403">
        <f>M68+N68</f>
        <v>320000</v>
      </c>
      <c r="P68" s="640"/>
      <c r="Q68" s="375" t="s">
        <v>201</v>
      </c>
    </row>
    <row r="69" spans="1:20" outlineLevel="1" x14ac:dyDescent="0.3">
      <c r="A69" s="705"/>
      <c r="B69" s="723"/>
      <c r="C69" s="725"/>
      <c r="D69" s="725"/>
      <c r="E69" s="407"/>
      <c r="F69" s="725"/>
      <c r="G69" s="717"/>
      <c r="H69" s="719"/>
      <c r="I69" s="721"/>
      <c r="J69" s="704"/>
      <c r="K69" s="336">
        <f t="shared" si="9"/>
        <v>4</v>
      </c>
      <c r="L69" s="376" t="s">
        <v>216</v>
      </c>
      <c r="M69" s="353">
        <v>0</v>
      </c>
      <c r="N69" s="378">
        <f>'Штатное расписание 25'!L58</f>
        <v>96640</v>
      </c>
      <c r="O69" s="403">
        <f t="shared" ref="O69:O71" si="10">M69+N69</f>
        <v>96640</v>
      </c>
      <c r="P69" s="640"/>
      <c r="Q69" s="646">
        <v>0.30199999999999999</v>
      </c>
    </row>
    <row r="70" spans="1:20" outlineLevel="1" x14ac:dyDescent="0.3">
      <c r="A70" s="685"/>
      <c r="B70" s="649"/>
      <c r="C70" s="650"/>
      <c r="D70" s="672"/>
      <c r="E70" s="407"/>
      <c r="F70" s="672"/>
      <c r="G70" s="651"/>
      <c r="H70" s="676"/>
      <c r="I70" s="677"/>
      <c r="J70" s="648"/>
      <c r="K70" s="336">
        <v>5</v>
      </c>
      <c r="L70" s="376" t="s">
        <v>279</v>
      </c>
      <c r="M70" s="353"/>
      <c r="N70" s="378">
        <v>23000</v>
      </c>
      <c r="O70" s="403">
        <f t="shared" si="10"/>
        <v>23000</v>
      </c>
      <c r="P70" s="640"/>
      <c r="Q70" s="646" t="s">
        <v>280</v>
      </c>
    </row>
    <row r="71" spans="1:20" ht="19.5" outlineLevel="1" thickBot="1" x14ac:dyDescent="0.35">
      <c r="A71" s="413"/>
      <c r="B71" s="404"/>
      <c r="C71" s="405"/>
      <c r="D71" s="409"/>
      <c r="E71" s="407"/>
      <c r="F71" s="414"/>
      <c r="G71" s="408"/>
      <c r="H71" s="409"/>
      <c r="I71" s="410"/>
      <c r="J71" s="415"/>
      <c r="K71" s="336">
        <v>6</v>
      </c>
      <c r="L71" s="376" t="s">
        <v>205</v>
      </c>
      <c r="M71" s="687">
        <v>832</v>
      </c>
      <c r="N71" s="378">
        <v>5068</v>
      </c>
      <c r="O71" s="403">
        <f t="shared" si="10"/>
        <v>5900</v>
      </c>
      <c r="P71" s="640"/>
      <c r="Q71" s="374" t="s">
        <v>271</v>
      </c>
    </row>
    <row r="72" spans="1:20" ht="31.9" customHeight="1" thickBot="1" x14ac:dyDescent="0.35">
      <c r="A72" s="416" t="s">
        <v>39</v>
      </c>
      <c r="B72" s="736" t="s">
        <v>250</v>
      </c>
      <c r="C72" s="737"/>
      <c r="D72" s="737"/>
      <c r="E72" s="737"/>
      <c r="F72" s="737"/>
      <c r="G72" s="737"/>
      <c r="H72" s="737"/>
      <c r="I72" s="738"/>
      <c r="J72" s="324" t="s">
        <v>212</v>
      </c>
      <c r="K72" s="371" t="s">
        <v>39</v>
      </c>
      <c r="L72" s="300" t="s">
        <v>251</v>
      </c>
      <c r="M72" s="653"/>
      <c r="N72" s="418"/>
      <c r="O72" s="419" t="s">
        <v>212</v>
      </c>
      <c r="P72" s="686"/>
      <c r="Q72" s="374"/>
    </row>
    <row r="73" spans="1:20" ht="21.75" thickBot="1" x14ac:dyDescent="0.4">
      <c r="A73" s="420"/>
      <c r="B73" s="713" t="s">
        <v>248</v>
      </c>
      <c r="C73" s="714"/>
      <c r="D73" s="715"/>
      <c r="E73" s="446"/>
      <c r="F73" s="446"/>
      <c r="G73" s="446"/>
      <c r="H73" s="446"/>
      <c r="I73" s="447"/>
      <c r="J73" s="417">
        <f>SUM(J74:J76)</f>
        <v>2160883.2000000002</v>
      </c>
      <c r="K73" s="371"/>
      <c r="L73" s="455" t="s">
        <v>248</v>
      </c>
      <c r="M73" s="454"/>
      <c r="N73" s="446"/>
      <c r="O73" s="387">
        <f>SUM(O74:O76)</f>
        <v>2160883.2000000002</v>
      </c>
      <c r="P73" s="427"/>
      <c r="Q73" s="374"/>
    </row>
    <row r="74" spans="1:20" ht="30.75" x14ac:dyDescent="0.3">
      <c r="A74" s="322">
        <v>1</v>
      </c>
      <c r="B74" s="664" t="s">
        <v>42</v>
      </c>
      <c r="C74" s="337"/>
      <c r="D74" s="337"/>
      <c r="E74" s="337"/>
      <c r="F74" s="338"/>
      <c r="G74" s="399"/>
      <c r="H74" s="337"/>
      <c r="I74" s="665"/>
      <c r="J74" s="424">
        <f>'ХД 2025'!D9</f>
        <v>1466730</v>
      </c>
      <c r="K74" s="302">
        <v>1</v>
      </c>
      <c r="L74" s="421" t="s">
        <v>26</v>
      </c>
      <c r="M74" s="421"/>
      <c r="N74" s="421"/>
      <c r="O74" s="403">
        <v>300000</v>
      </c>
      <c r="P74" s="640"/>
      <c r="Q74" s="379" t="s">
        <v>260</v>
      </c>
    </row>
    <row r="75" spans="1:20" x14ac:dyDescent="0.3">
      <c r="A75" s="302">
        <v>2</v>
      </c>
      <c r="B75" s="666" t="s">
        <v>44</v>
      </c>
      <c r="C75" s="422"/>
      <c r="D75" s="422"/>
      <c r="E75" s="422"/>
      <c r="F75" s="305"/>
      <c r="G75" s="408"/>
      <c r="H75" s="422"/>
      <c r="I75" s="423"/>
      <c r="J75" s="424">
        <f>'ХД 2025'!D16</f>
        <v>94153.2</v>
      </c>
      <c r="K75" s="302">
        <v>2</v>
      </c>
      <c r="L75" s="421" t="s">
        <v>83</v>
      </c>
      <c r="M75" s="421"/>
      <c r="N75" s="421"/>
      <c r="O75" s="403">
        <f>J73*0.06</f>
        <v>129652.99200000001</v>
      </c>
      <c r="P75" s="640"/>
      <c r="Q75" s="379" t="s">
        <v>267</v>
      </c>
    </row>
    <row r="76" spans="1:20" ht="40.15" customHeight="1" x14ac:dyDescent="0.3">
      <c r="A76" s="655">
        <v>3</v>
      </c>
      <c r="B76" s="658" t="s">
        <v>243</v>
      </c>
      <c r="C76" s="656"/>
      <c r="D76" s="656"/>
      <c r="E76" s="307"/>
      <c r="F76" s="657"/>
      <c r="G76" s="657"/>
      <c r="H76" s="656"/>
      <c r="I76" s="657"/>
      <c r="J76" s="663">
        <v>600000</v>
      </c>
      <c r="K76" s="302">
        <v>3</v>
      </c>
      <c r="L76" s="290" t="s">
        <v>234</v>
      </c>
      <c r="M76" s="290"/>
      <c r="N76" s="290"/>
      <c r="O76" s="244">
        <f>J73-O74-O75</f>
        <v>1731230.2080000001</v>
      </c>
      <c r="P76" s="640"/>
      <c r="Q76" s="644">
        <v>0.06</v>
      </c>
    </row>
    <row r="77" spans="1:20" ht="7.9" customHeight="1" thickBot="1" x14ac:dyDescent="0.35">
      <c r="A77" s="662"/>
      <c r="B77" s="667"/>
      <c r="C77" s="660"/>
      <c r="D77" s="660"/>
      <c r="E77" s="334"/>
      <c r="F77" s="661"/>
      <c r="G77" s="661"/>
      <c r="H77" s="660"/>
      <c r="I77" s="668"/>
      <c r="J77" s="675"/>
      <c r="K77" s="659"/>
      <c r="L77" s="425"/>
      <c r="M77" s="425"/>
      <c r="N77" s="425"/>
      <c r="O77" s="426"/>
      <c r="P77" s="640"/>
      <c r="Q77" s="374"/>
    </row>
    <row r="78" spans="1:20" s="453" customFormat="1" ht="34.15" customHeight="1" thickBot="1" x14ac:dyDescent="0.4">
      <c r="A78" s="448"/>
      <c r="B78" s="669" t="s">
        <v>48</v>
      </c>
      <c r="C78" s="449"/>
      <c r="D78" s="449"/>
      <c r="E78" s="449"/>
      <c r="F78" s="450"/>
      <c r="G78" s="450"/>
      <c r="H78" s="449"/>
      <c r="I78" s="451"/>
      <c r="J78" s="451">
        <f>J13+J32+J65+J73</f>
        <v>18675067.050000001</v>
      </c>
      <c r="K78" s="448"/>
      <c r="L78" s="333" t="s">
        <v>49</v>
      </c>
      <c r="M78" s="333"/>
      <c r="N78" s="333"/>
      <c r="O78" s="452">
        <f>O13+O32+O65+O73</f>
        <v>18675067.052999999</v>
      </c>
      <c r="P78" s="643"/>
      <c r="Q78" s="866"/>
    </row>
    <row r="79" spans="1:20" x14ac:dyDescent="0.3">
      <c r="Q79" s="682"/>
      <c r="R79" s="694"/>
      <c r="S79" s="694"/>
    </row>
    <row r="80" spans="1:20" hidden="1" outlineLevel="1" x14ac:dyDescent="0.3">
      <c r="L80" s="311" t="s">
        <v>206</v>
      </c>
      <c r="M80" s="311"/>
      <c r="N80" s="311"/>
      <c r="O80" s="427">
        <f>J78-O78</f>
        <v>-2.9999986290931702E-3</v>
      </c>
      <c r="P80" s="427"/>
      <c r="Q80" s="682"/>
      <c r="R80" s="679"/>
      <c r="S80" s="679"/>
    </row>
    <row r="81" spans="17:19" ht="34.9" customHeight="1" collapsed="1" x14ac:dyDescent="0.3">
      <c r="Q81" s="682"/>
      <c r="R81" s="679"/>
      <c r="S81" s="679"/>
    </row>
    <row r="82" spans="17:19" x14ac:dyDescent="0.3">
      <c r="Q82" s="682"/>
    </row>
    <row r="83" spans="17:19" x14ac:dyDescent="0.3">
      <c r="Q83" s="682"/>
    </row>
  </sheetData>
  <mergeCells count="48">
    <mergeCell ref="B72:I72"/>
    <mergeCell ref="J33:J34"/>
    <mergeCell ref="A11:J11"/>
    <mergeCell ref="B73:D73"/>
    <mergeCell ref="B65:D65"/>
    <mergeCell ref="B33:B34"/>
    <mergeCell ref="H33:H34"/>
    <mergeCell ref="I33:I34"/>
    <mergeCell ref="F68:F69"/>
    <mergeCell ref="G38:G40"/>
    <mergeCell ref="H38:H40"/>
    <mergeCell ref="I38:I40"/>
    <mergeCell ref="H35:H37"/>
    <mergeCell ref="I35:I37"/>
    <mergeCell ref="G33:G34"/>
    <mergeCell ref="F33:F34"/>
    <mergeCell ref="K11:O11"/>
    <mergeCell ref="A13:D13"/>
    <mergeCell ref="G68:G69"/>
    <mergeCell ref="H68:H69"/>
    <mergeCell ref="I68:I69"/>
    <mergeCell ref="J68:J69"/>
    <mergeCell ref="J35:J37"/>
    <mergeCell ref="A68:A69"/>
    <mergeCell ref="B68:B69"/>
    <mergeCell ref="C68:C69"/>
    <mergeCell ref="D68:D69"/>
    <mergeCell ref="A33:A34"/>
    <mergeCell ref="C33:C34"/>
    <mergeCell ref="D33:D34"/>
    <mergeCell ref="B32:D32"/>
    <mergeCell ref="B64:D64"/>
    <mergeCell ref="R79:S79"/>
    <mergeCell ref="A7:O7"/>
    <mergeCell ref="A9:C9"/>
    <mergeCell ref="E37:E39"/>
    <mergeCell ref="B35:B37"/>
    <mergeCell ref="C35:C37"/>
    <mergeCell ref="D35:D37"/>
    <mergeCell ref="A35:A37"/>
    <mergeCell ref="F35:F37"/>
    <mergeCell ref="B38:B40"/>
    <mergeCell ref="A38:A40"/>
    <mergeCell ref="C38:C40"/>
    <mergeCell ref="D38:D40"/>
    <mergeCell ref="F38:F40"/>
    <mergeCell ref="J38:J40"/>
    <mergeCell ref="G35:G37"/>
  </mergeCells>
  <pageMargins left="0.11811023622047245" right="0.11811023622047245" top="0" bottom="0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1"/>
  <sheetViews>
    <sheetView topLeftCell="A7" workbookViewId="0">
      <selection activeCell="P61" sqref="P61"/>
    </sheetView>
  </sheetViews>
  <sheetFormatPr defaultColWidth="8.85546875" defaultRowHeight="15" outlineLevelRow="1" x14ac:dyDescent="0.25"/>
  <cols>
    <col min="1" max="1" width="22.28515625" style="318" customWidth="1"/>
    <col min="2" max="2" width="7" style="318" bestFit="1" customWidth="1"/>
    <col min="3" max="3" width="6.42578125" style="318" customWidth="1"/>
    <col min="4" max="4" width="12.28515625" style="318" bestFit="1" customWidth="1"/>
    <col min="5" max="5" width="12.7109375" style="318" customWidth="1"/>
    <col min="6" max="6" width="6.5703125" style="318" customWidth="1"/>
    <col min="7" max="7" width="6.7109375" style="318" bestFit="1" customWidth="1"/>
    <col min="8" max="8" width="14.5703125" style="318" customWidth="1"/>
    <col min="9" max="9" width="6.85546875" style="318" customWidth="1"/>
    <col min="10" max="10" width="5.28515625" style="318" bestFit="1" customWidth="1"/>
    <col min="11" max="11" width="12.42578125" style="318" bestFit="1" customWidth="1"/>
    <col min="12" max="12" width="14.42578125" style="318" bestFit="1" customWidth="1"/>
    <col min="13" max="13" width="6.5703125" style="318" customWidth="1"/>
    <col min="14" max="14" width="8.140625" style="318" customWidth="1"/>
    <col min="15" max="15" width="12.7109375" style="318" bestFit="1" customWidth="1"/>
    <col min="16" max="16" width="21.85546875" style="318" bestFit="1" customWidth="1"/>
    <col min="17" max="17" width="8.85546875" style="318"/>
    <col min="18" max="18" width="11.42578125" style="318" bestFit="1" customWidth="1"/>
    <col min="19" max="19" width="10" style="318" bestFit="1" customWidth="1"/>
    <col min="20" max="16384" width="8.85546875" style="318"/>
  </cols>
  <sheetData>
    <row r="1" spans="1:16" x14ac:dyDescent="0.25">
      <c r="M1" s="752" t="s">
        <v>161</v>
      </c>
      <c r="N1" s="752"/>
      <c r="O1" s="752"/>
      <c r="P1" s="752"/>
    </row>
    <row r="2" spans="1:16" x14ac:dyDescent="0.25">
      <c r="F2" s="465"/>
      <c r="G2" s="465"/>
      <c r="H2" s="465"/>
      <c r="I2" s="465"/>
      <c r="M2" s="752" t="s">
        <v>270</v>
      </c>
      <c r="N2" s="752"/>
      <c r="O2" s="752"/>
      <c r="P2" s="752"/>
    </row>
    <row r="3" spans="1:16" ht="22.15" customHeight="1" x14ac:dyDescent="0.25">
      <c r="G3" s="779"/>
      <c r="H3" s="779"/>
      <c r="I3" s="466"/>
      <c r="M3" s="292"/>
      <c r="N3" s="645" t="s">
        <v>252</v>
      </c>
      <c r="O3" s="645"/>
      <c r="P3" s="645"/>
    </row>
    <row r="4" spans="1:16" ht="19.899999999999999" customHeight="1" x14ac:dyDescent="0.25">
      <c r="F4" s="465"/>
      <c r="G4" s="465"/>
      <c r="H4" s="465"/>
      <c r="I4" s="465"/>
      <c r="M4" s="633"/>
      <c r="N4" s="633"/>
      <c r="O4" s="645" t="s">
        <v>253</v>
      </c>
      <c r="P4" s="645"/>
    </row>
    <row r="5" spans="1:16" x14ac:dyDescent="0.25">
      <c r="F5" s="465"/>
      <c r="G5" s="465"/>
      <c r="H5" s="465"/>
      <c r="I5" s="465"/>
      <c r="M5" s="466"/>
      <c r="N5" s="466"/>
      <c r="O5" s="466"/>
      <c r="P5" s="466"/>
    </row>
    <row r="6" spans="1:16" s="292" customFormat="1" ht="18.75" x14ac:dyDescent="0.3">
      <c r="B6" s="777" t="s">
        <v>242</v>
      </c>
      <c r="C6" s="777"/>
      <c r="D6" s="777"/>
      <c r="E6" s="777"/>
      <c r="F6" s="777"/>
      <c r="G6" s="777"/>
    </row>
    <row r="7" spans="1:16" s="292" customFormat="1" ht="18.75" x14ac:dyDescent="0.3">
      <c r="B7" s="777" t="s">
        <v>169</v>
      </c>
      <c r="C7" s="777"/>
      <c r="D7" s="777"/>
      <c r="E7" s="777"/>
      <c r="F7" s="777"/>
      <c r="G7" s="777"/>
    </row>
    <row r="8" spans="1:16" s="292" customFormat="1" ht="18.75" x14ac:dyDescent="0.3">
      <c r="B8" s="316"/>
      <c r="C8" s="316"/>
      <c r="D8" s="825" t="s">
        <v>170</v>
      </c>
      <c r="E8" s="825"/>
      <c r="F8" s="552"/>
      <c r="G8" s="316"/>
      <c r="K8" s="457"/>
      <c r="L8" s="457"/>
      <c r="M8" s="456"/>
    </row>
    <row r="9" spans="1:16" ht="15.75" thickBot="1" x14ac:dyDescent="0.3">
      <c r="D9" s="467"/>
      <c r="E9" s="467"/>
      <c r="F9" s="466"/>
      <c r="K9" s="467"/>
      <c r="L9" s="467"/>
      <c r="M9" s="466"/>
    </row>
    <row r="10" spans="1:16" ht="15.75" thickBot="1" x14ac:dyDescent="0.3">
      <c r="B10" s="468"/>
      <c r="C10" s="820" t="s">
        <v>210</v>
      </c>
      <c r="D10" s="820"/>
      <c r="E10" s="820"/>
      <c r="F10" s="820"/>
      <c r="G10" s="820"/>
      <c r="H10" s="826"/>
      <c r="I10" s="814" t="s">
        <v>220</v>
      </c>
      <c r="J10" s="814"/>
      <c r="K10" s="814"/>
      <c r="L10" s="814"/>
      <c r="M10" s="814"/>
      <c r="N10" s="814"/>
      <c r="O10" s="815"/>
      <c r="P10" s="827" t="s">
        <v>212</v>
      </c>
    </row>
    <row r="11" spans="1:16" s="473" customFormat="1" ht="48" x14ac:dyDescent="0.2">
      <c r="A11" s="469" t="s">
        <v>95</v>
      </c>
      <c r="B11" s="470" t="s">
        <v>96</v>
      </c>
      <c r="C11" s="471" t="s">
        <v>118</v>
      </c>
      <c r="D11" s="471" t="s">
        <v>171</v>
      </c>
      <c r="E11" s="471" t="s">
        <v>172</v>
      </c>
      <c r="F11" s="471"/>
      <c r="G11" s="471" t="s">
        <v>97</v>
      </c>
      <c r="H11" s="472" t="s">
        <v>221</v>
      </c>
      <c r="I11" s="553" t="s">
        <v>96</v>
      </c>
      <c r="J11" s="471" t="s">
        <v>118</v>
      </c>
      <c r="K11" s="471" t="s">
        <v>171</v>
      </c>
      <c r="L11" s="471" t="s">
        <v>172</v>
      </c>
      <c r="M11" s="471"/>
      <c r="N11" s="471" t="s">
        <v>97</v>
      </c>
      <c r="O11" s="472" t="s">
        <v>221</v>
      </c>
      <c r="P11" s="828"/>
    </row>
    <row r="12" spans="1:16" x14ac:dyDescent="0.25">
      <c r="A12" s="474"/>
      <c r="B12" s="755" t="s">
        <v>173</v>
      </c>
      <c r="C12" s="756"/>
      <c r="D12" s="756"/>
      <c r="E12" s="756"/>
      <c r="F12" s="756"/>
      <c r="G12" s="757"/>
      <c r="H12" s="476"/>
      <c r="I12" s="554"/>
      <c r="J12" s="475"/>
      <c r="K12" s="475"/>
      <c r="L12" s="475"/>
      <c r="M12" s="475"/>
      <c r="N12" s="475"/>
      <c r="O12" s="476"/>
      <c r="P12" s="477"/>
    </row>
    <row r="13" spans="1:16" ht="15.75" thickBot="1" x14ac:dyDescent="0.3">
      <c r="A13" s="478" t="s">
        <v>70</v>
      </c>
      <c r="B13" s="479">
        <v>1</v>
      </c>
      <c r="C13" s="480">
        <v>1</v>
      </c>
      <c r="D13" s="481">
        <v>57500</v>
      </c>
      <c r="E13" s="481">
        <f>B13*D13</f>
        <v>57500</v>
      </c>
      <c r="F13" s="481"/>
      <c r="G13" s="482">
        <v>5</v>
      </c>
      <c r="H13" s="515">
        <f>E13*G13</f>
        <v>287500</v>
      </c>
      <c r="I13" s="501">
        <v>1</v>
      </c>
      <c r="J13" s="480">
        <v>1</v>
      </c>
      <c r="K13" s="481">
        <v>80000</v>
      </c>
      <c r="L13" s="481">
        <f>K13*J13</f>
        <v>80000</v>
      </c>
      <c r="M13" s="481"/>
      <c r="N13" s="482">
        <v>7</v>
      </c>
      <c r="O13" s="483">
        <f>L13*N13</f>
        <v>560000</v>
      </c>
      <c r="P13" s="484">
        <f>H13+O13</f>
        <v>847500</v>
      </c>
    </row>
    <row r="14" spans="1:16" s="292" customFormat="1" ht="15.75" thickBot="1" x14ac:dyDescent="0.3">
      <c r="A14" s="485" t="s">
        <v>259</v>
      </c>
      <c r="B14" s="486">
        <f>SUM(B13:B13)</f>
        <v>1</v>
      </c>
      <c r="C14" s="487"/>
      <c r="D14" s="487"/>
      <c r="E14" s="488"/>
      <c r="F14" s="489"/>
      <c r="G14" s="487"/>
      <c r="H14" s="490">
        <f>SUM(H13:H13)</f>
        <v>287500</v>
      </c>
      <c r="I14" s="555"/>
      <c r="J14" s="487"/>
      <c r="K14" s="487"/>
      <c r="L14" s="488"/>
      <c r="M14" s="489"/>
      <c r="N14" s="487"/>
      <c r="O14" s="490">
        <f>SUM(O13:O13)</f>
        <v>560000</v>
      </c>
      <c r="P14" s="491">
        <f>H14+O14</f>
        <v>847500</v>
      </c>
    </row>
    <row r="15" spans="1:16" ht="9.6" customHeight="1" x14ac:dyDescent="0.25"/>
    <row r="16" spans="1:16" ht="15.75" thickBot="1" x14ac:dyDescent="0.3">
      <c r="B16" s="778" t="s">
        <v>223</v>
      </c>
      <c r="C16" s="778"/>
      <c r="D16" s="778"/>
      <c r="E16" s="778"/>
      <c r="F16" s="778"/>
      <c r="G16" s="778"/>
    </row>
    <row r="17" spans="1:19" x14ac:dyDescent="0.25">
      <c r="A17" s="492" t="s">
        <v>230</v>
      </c>
      <c r="B17" s="493">
        <v>1</v>
      </c>
      <c r="C17" s="494">
        <v>1</v>
      </c>
      <c r="D17" s="495"/>
      <c r="E17" s="495">
        <f>B17*D17</f>
        <v>0</v>
      </c>
      <c r="F17" s="496"/>
      <c r="G17" s="494">
        <v>5</v>
      </c>
      <c r="H17" s="497">
        <f>E17*G17</f>
        <v>0</v>
      </c>
      <c r="I17" s="498">
        <v>1</v>
      </c>
      <c r="J17" s="494">
        <v>1</v>
      </c>
      <c r="K17" s="495">
        <v>70000</v>
      </c>
      <c r="L17" s="496">
        <f>K17*B17</f>
        <v>70000</v>
      </c>
      <c r="M17" s="496"/>
      <c r="N17" s="494">
        <v>5</v>
      </c>
      <c r="O17" s="499">
        <f>L17*N17</f>
        <v>350000</v>
      </c>
      <c r="P17" s="458">
        <f>H17+O17</f>
        <v>350000</v>
      </c>
      <c r="Q17" s="292"/>
    </row>
    <row r="18" spans="1:19" x14ac:dyDescent="0.25">
      <c r="A18" s="500" t="s">
        <v>162</v>
      </c>
      <c r="B18" s="501">
        <v>4</v>
      </c>
      <c r="C18" s="502">
        <v>1</v>
      </c>
      <c r="D18" s="503">
        <v>33000</v>
      </c>
      <c r="E18" s="504">
        <f>B18*D18</f>
        <v>132000</v>
      </c>
      <c r="F18" s="504"/>
      <c r="G18" s="502">
        <v>5</v>
      </c>
      <c r="H18" s="483">
        <f>E18*G18</f>
        <v>660000</v>
      </c>
      <c r="I18" s="505">
        <v>3</v>
      </c>
      <c r="J18" s="502">
        <v>1</v>
      </c>
      <c r="K18" s="503">
        <v>43000</v>
      </c>
      <c r="L18" s="504">
        <f>K18*I18</f>
        <v>129000</v>
      </c>
      <c r="M18" s="504"/>
      <c r="N18" s="502">
        <v>7</v>
      </c>
      <c r="O18" s="483">
        <f>L18*N18</f>
        <v>903000</v>
      </c>
      <c r="P18" s="459">
        <f>H18+O18</f>
        <v>1563000</v>
      </c>
      <c r="Q18" s="292"/>
    </row>
    <row r="19" spans="1:19" ht="30" x14ac:dyDescent="0.25">
      <c r="A19" s="500" t="s">
        <v>240</v>
      </c>
      <c r="B19" s="506">
        <v>0</v>
      </c>
      <c r="C19" s="502"/>
      <c r="D19" s="503"/>
      <c r="E19" s="504"/>
      <c r="F19" s="504"/>
      <c r="G19" s="502"/>
      <c r="H19" s="483"/>
      <c r="I19" s="505">
        <v>1</v>
      </c>
      <c r="J19" s="502">
        <v>1</v>
      </c>
      <c r="K19" s="503">
        <v>51000</v>
      </c>
      <c r="L19" s="504">
        <f>K19*I19</f>
        <v>51000</v>
      </c>
      <c r="M19" s="504"/>
      <c r="N19" s="502">
        <v>7</v>
      </c>
      <c r="O19" s="483">
        <f>L19*N19</f>
        <v>357000</v>
      </c>
      <c r="P19" s="459">
        <f>H19+O19</f>
        <v>357000</v>
      </c>
      <c r="Q19" s="292"/>
      <c r="R19" s="507"/>
    </row>
    <row r="20" spans="1:19" ht="16.899999999999999" customHeight="1" x14ac:dyDescent="0.25">
      <c r="A20" s="753" t="s">
        <v>209</v>
      </c>
      <c r="B20" s="758">
        <v>2</v>
      </c>
      <c r="C20" s="502">
        <v>1</v>
      </c>
      <c r="D20" s="503">
        <f>22000*2</f>
        <v>44000</v>
      </c>
      <c r="E20" s="504">
        <f>B20*D20</f>
        <v>88000</v>
      </c>
      <c r="F20" s="504" t="s">
        <v>207</v>
      </c>
      <c r="G20" s="502">
        <v>2</v>
      </c>
      <c r="H20" s="832">
        <f>E20*G20+G21*E21</f>
        <v>400400</v>
      </c>
      <c r="I20" s="508"/>
      <c r="J20" s="502">
        <v>1</v>
      </c>
      <c r="K20" s="503">
        <v>50000</v>
      </c>
      <c r="L20" s="504">
        <f>K20*B20</f>
        <v>100000</v>
      </c>
      <c r="M20" s="504" t="s">
        <v>207</v>
      </c>
      <c r="N20" s="502">
        <v>1</v>
      </c>
      <c r="O20" s="483">
        <f>L20*N20+L21*N21</f>
        <v>640000</v>
      </c>
      <c r="P20" s="809">
        <f>H20+O20</f>
        <v>1040400</v>
      </c>
      <c r="Q20" s="292"/>
    </row>
    <row r="21" spans="1:19" ht="18.600000000000001" customHeight="1" x14ac:dyDescent="0.25">
      <c r="A21" s="754"/>
      <c r="B21" s="759"/>
      <c r="C21" s="502">
        <v>1</v>
      </c>
      <c r="D21" s="503">
        <f>18700*2</f>
        <v>37400</v>
      </c>
      <c r="E21" s="504">
        <f>B20*D21</f>
        <v>74800</v>
      </c>
      <c r="F21" s="504" t="s">
        <v>208</v>
      </c>
      <c r="G21" s="502">
        <v>3</v>
      </c>
      <c r="H21" s="833"/>
      <c r="I21" s="509"/>
      <c r="J21" s="502">
        <v>1</v>
      </c>
      <c r="K21" s="503">
        <v>45000</v>
      </c>
      <c r="L21" s="504">
        <f>K21*B20</f>
        <v>90000</v>
      </c>
      <c r="M21" s="504" t="s">
        <v>208</v>
      </c>
      <c r="N21" s="502">
        <v>6</v>
      </c>
      <c r="O21" s="510"/>
      <c r="P21" s="810"/>
      <c r="Q21" s="292"/>
    </row>
    <row r="22" spans="1:19" ht="30.75" thickBot="1" x14ac:dyDescent="0.3">
      <c r="A22" s="511" t="s">
        <v>180</v>
      </c>
      <c r="B22" s="512">
        <v>1</v>
      </c>
      <c r="C22" s="502">
        <v>1</v>
      </c>
      <c r="D22" s="503">
        <v>80000</v>
      </c>
      <c r="E22" s="504">
        <f>B22*D22</f>
        <v>80000</v>
      </c>
      <c r="F22" s="502"/>
      <c r="G22" s="502">
        <v>5</v>
      </c>
      <c r="H22" s="513">
        <f>D22*G22</f>
        <v>400000</v>
      </c>
      <c r="I22" s="514"/>
      <c r="J22" s="502">
        <v>1</v>
      </c>
      <c r="K22" s="503">
        <v>40000</v>
      </c>
      <c r="L22" s="504">
        <f>K22*B22</f>
        <v>40000</v>
      </c>
      <c r="M22" s="502"/>
      <c r="N22" s="502">
        <v>7</v>
      </c>
      <c r="O22" s="513">
        <f>K22*N22</f>
        <v>280000</v>
      </c>
      <c r="P22" s="459">
        <f>H22+O22</f>
        <v>680000</v>
      </c>
    </row>
    <row r="23" spans="1:19" s="292" customFormat="1" ht="15.75" thickBot="1" x14ac:dyDescent="0.3">
      <c r="A23" s="485" t="s">
        <v>259</v>
      </c>
      <c r="B23" s="579">
        <f>SUM(B17:B22)</f>
        <v>8</v>
      </c>
      <c r="C23" s="580"/>
      <c r="D23" s="580"/>
      <c r="E23" s="581"/>
      <c r="F23" s="580"/>
      <c r="G23" s="580"/>
      <c r="H23" s="490">
        <f>H18+H20+H22</f>
        <v>1460400</v>
      </c>
      <c r="I23" s="609"/>
      <c r="J23" s="580"/>
      <c r="K23" s="580"/>
      <c r="L23" s="581"/>
      <c r="M23" s="580"/>
      <c r="N23" s="580"/>
      <c r="O23" s="490">
        <f>SUM(O17:O22)</f>
        <v>2530000</v>
      </c>
      <c r="P23" s="567">
        <f>SUM(P17:P22)</f>
        <v>3990400</v>
      </c>
      <c r="S23" s="293"/>
    </row>
    <row r="24" spans="1:19" s="292" customFormat="1" ht="9" customHeight="1" thickBot="1" x14ac:dyDescent="0.3">
      <c r="A24" s="602"/>
      <c r="B24" s="603"/>
      <c r="C24" s="604"/>
      <c r="D24" s="604"/>
      <c r="E24" s="605"/>
      <c r="F24" s="604"/>
      <c r="G24" s="604"/>
      <c r="H24" s="606"/>
      <c r="I24" s="607"/>
      <c r="J24" s="604"/>
      <c r="K24" s="604"/>
      <c r="L24" s="605"/>
      <c r="M24" s="604"/>
      <c r="N24" s="604"/>
      <c r="O24" s="606"/>
      <c r="P24" s="608"/>
      <c r="S24" s="293"/>
    </row>
    <row r="25" spans="1:19" ht="39" thickBot="1" x14ac:dyDescent="0.3">
      <c r="A25" s="647" t="s">
        <v>277</v>
      </c>
      <c r="B25" s="493">
        <v>1</v>
      </c>
      <c r="C25" s="610"/>
      <c r="D25" s="611"/>
      <c r="E25" s="612"/>
      <c r="F25" s="610"/>
      <c r="G25" s="610"/>
      <c r="H25" s="613"/>
      <c r="I25" s="614"/>
      <c r="J25" s="610">
        <v>1</v>
      </c>
      <c r="K25" s="611">
        <v>40000</v>
      </c>
      <c r="L25" s="612">
        <f>K25*B25</f>
        <v>40000</v>
      </c>
      <c r="M25" s="610"/>
      <c r="N25" s="610">
        <v>7</v>
      </c>
      <c r="O25" s="613">
        <f>K25*N25</f>
        <v>280000</v>
      </c>
      <c r="P25" s="615">
        <f>H25+O25</f>
        <v>280000</v>
      </c>
    </row>
    <row r="26" spans="1:19" s="292" customFormat="1" ht="45.75" thickBot="1" x14ac:dyDescent="0.3">
      <c r="A26" s="578" t="s">
        <v>257</v>
      </c>
      <c r="B26" s="579">
        <f>SUM(B25)</f>
        <v>1</v>
      </c>
      <c r="C26" s="580"/>
      <c r="D26" s="580"/>
      <c r="E26" s="581"/>
      <c r="F26" s="580"/>
      <c r="G26" s="580"/>
      <c r="H26" s="571">
        <f>SUM(H25)</f>
        <v>0</v>
      </c>
      <c r="I26" s="569"/>
      <c r="J26" s="580"/>
      <c r="K26" s="580"/>
      <c r="L26" s="581"/>
      <c r="M26" s="580"/>
      <c r="N26" s="580"/>
      <c r="O26" s="490">
        <f>SUM(O25)</f>
        <v>280000</v>
      </c>
      <c r="P26" s="567">
        <f>SUM(P25)</f>
        <v>280000</v>
      </c>
      <c r="S26" s="293"/>
    </row>
    <row r="27" spans="1:19" s="576" customFormat="1" ht="16.5" thickBot="1" x14ac:dyDescent="0.3">
      <c r="A27" s="763" t="s">
        <v>255</v>
      </c>
      <c r="B27" s="764"/>
      <c r="C27" s="764"/>
      <c r="D27" s="764"/>
      <c r="E27" s="764"/>
      <c r="F27" s="764"/>
      <c r="G27" s="765"/>
      <c r="H27" s="582">
        <f>H23+H26</f>
        <v>1460400</v>
      </c>
      <c r="I27" s="572"/>
      <c r="J27" s="573"/>
      <c r="K27" s="573"/>
      <c r="L27" s="574"/>
      <c r="M27" s="573"/>
      <c r="N27" s="573"/>
      <c r="O27" s="575">
        <f>O23+O26</f>
        <v>2810000</v>
      </c>
      <c r="P27" s="575">
        <f>P23+P26</f>
        <v>4270400</v>
      </c>
      <c r="S27" s="577"/>
    </row>
    <row r="28" spans="1:19" x14ac:dyDescent="0.25">
      <c r="H28" s="507"/>
      <c r="I28" s="507"/>
      <c r="O28" s="507"/>
    </row>
    <row r="29" spans="1:19" ht="15.75" thickBot="1" x14ac:dyDescent="0.3">
      <c r="A29" s="752" t="s">
        <v>174</v>
      </c>
      <c r="B29" s="752"/>
      <c r="C29" s="752"/>
      <c r="D29" s="752"/>
      <c r="E29" s="752"/>
      <c r="F29" s="752"/>
      <c r="G29" s="752"/>
      <c r="H29" s="752"/>
      <c r="I29" s="456"/>
      <c r="J29" s="466"/>
      <c r="K29" s="466"/>
      <c r="L29" s="466"/>
      <c r="M29" s="466"/>
      <c r="N29" s="466"/>
      <c r="O29" s="466"/>
      <c r="P29" s="466"/>
    </row>
    <row r="30" spans="1:19" ht="15.75" thickBot="1" x14ac:dyDescent="0.3">
      <c r="B30" s="468"/>
      <c r="C30" s="820" t="s">
        <v>210</v>
      </c>
      <c r="D30" s="820"/>
      <c r="E30" s="820"/>
      <c r="F30" s="820"/>
      <c r="G30" s="820"/>
      <c r="H30" s="821"/>
      <c r="I30" s="824" t="s">
        <v>220</v>
      </c>
      <c r="J30" s="814"/>
      <c r="K30" s="814"/>
      <c r="L30" s="814"/>
      <c r="M30" s="814"/>
      <c r="N30" s="814"/>
      <c r="O30" s="815"/>
      <c r="P30" s="807" t="s">
        <v>212</v>
      </c>
    </row>
    <row r="31" spans="1:19" s="516" customFormat="1" ht="48.75" thickBot="1" x14ac:dyDescent="0.25">
      <c r="A31" s="616" t="s">
        <v>95</v>
      </c>
      <c r="B31" s="617" t="s">
        <v>96</v>
      </c>
      <c r="C31" s="618" t="s">
        <v>118</v>
      </c>
      <c r="D31" s="618" t="s">
        <v>171</v>
      </c>
      <c r="E31" s="834" t="s">
        <v>109</v>
      </c>
      <c r="F31" s="835"/>
      <c r="G31" s="836"/>
      <c r="H31" s="619" t="s">
        <v>221</v>
      </c>
      <c r="I31" s="620" t="s">
        <v>96</v>
      </c>
      <c r="J31" s="621" t="s">
        <v>118</v>
      </c>
      <c r="K31" s="618" t="s">
        <v>171</v>
      </c>
      <c r="L31" s="837" t="s">
        <v>109</v>
      </c>
      <c r="M31" s="837"/>
      <c r="N31" s="837"/>
      <c r="O31" s="622" t="s">
        <v>221</v>
      </c>
      <c r="P31" s="808"/>
    </row>
    <row r="32" spans="1:19" x14ac:dyDescent="0.25">
      <c r="A32" s="492" t="s">
        <v>162</v>
      </c>
      <c r="B32" s="498">
        <v>4</v>
      </c>
      <c r="C32" s="494"/>
      <c r="D32" s="495"/>
      <c r="E32" s="829"/>
      <c r="F32" s="830"/>
      <c r="G32" s="831"/>
      <c r="H32" s="623"/>
      <c r="I32" s="498">
        <v>3</v>
      </c>
      <c r="J32" s="494"/>
      <c r="K32" s="495">
        <v>43000</v>
      </c>
      <c r="L32" s="822">
        <v>1</v>
      </c>
      <c r="M32" s="822"/>
      <c r="N32" s="822"/>
      <c r="O32" s="624">
        <f>I32*K32</f>
        <v>129000</v>
      </c>
      <c r="P32" s="625">
        <f>O32+H32</f>
        <v>129000</v>
      </c>
    </row>
    <row r="33" spans="1:19" ht="30" x14ac:dyDescent="0.25">
      <c r="A33" s="500" t="s">
        <v>240</v>
      </c>
      <c r="B33" s="520">
        <v>0</v>
      </c>
      <c r="C33" s="502"/>
      <c r="D33" s="503"/>
      <c r="E33" s="774"/>
      <c r="F33" s="775"/>
      <c r="G33" s="776"/>
      <c r="H33" s="517"/>
      <c r="I33" s="505">
        <v>1</v>
      </c>
      <c r="J33" s="502"/>
      <c r="K33" s="503">
        <v>51000</v>
      </c>
      <c r="L33" s="823">
        <v>0.84314</v>
      </c>
      <c r="M33" s="823"/>
      <c r="N33" s="823"/>
      <c r="O33" s="518">
        <f>I33*K33*L33-0.14</f>
        <v>43000</v>
      </c>
      <c r="P33" s="519">
        <f>O33+H33</f>
        <v>43000</v>
      </c>
    </row>
    <row r="34" spans="1:19" ht="25.5" x14ac:dyDescent="0.25">
      <c r="A34" s="626" t="s">
        <v>103</v>
      </c>
      <c r="B34" s="505">
        <v>2</v>
      </c>
      <c r="C34" s="502"/>
      <c r="D34" s="503"/>
      <c r="E34" s="774"/>
      <c r="F34" s="775"/>
      <c r="G34" s="776"/>
      <c r="H34" s="517"/>
      <c r="I34" s="505">
        <v>2</v>
      </c>
      <c r="J34" s="502"/>
      <c r="K34" s="503">
        <v>45000</v>
      </c>
      <c r="L34" s="770">
        <v>1</v>
      </c>
      <c r="M34" s="770"/>
      <c r="N34" s="770"/>
      <c r="O34" s="518">
        <f>K34*B34</f>
        <v>90000</v>
      </c>
      <c r="P34" s="519">
        <f t="shared" ref="P34:P35" si="0">O34+H34</f>
        <v>90000</v>
      </c>
    </row>
    <row r="35" spans="1:19" ht="26.25" thickBot="1" x14ac:dyDescent="0.3">
      <c r="A35" s="626" t="s">
        <v>199</v>
      </c>
      <c r="B35" s="505">
        <v>1</v>
      </c>
      <c r="C35" s="502"/>
      <c r="D35" s="503"/>
      <c r="E35" s="774"/>
      <c r="F35" s="775"/>
      <c r="G35" s="776"/>
      <c r="H35" s="517"/>
      <c r="I35" s="505">
        <v>1</v>
      </c>
      <c r="J35" s="502"/>
      <c r="K35" s="503">
        <v>40000</v>
      </c>
      <c r="L35" s="770">
        <v>1</v>
      </c>
      <c r="M35" s="770"/>
      <c r="N35" s="770"/>
      <c r="O35" s="518">
        <f>K35*B35</f>
        <v>40000</v>
      </c>
      <c r="P35" s="519">
        <f t="shared" si="0"/>
        <v>40000</v>
      </c>
    </row>
    <row r="36" spans="1:19" s="292" customFormat="1" ht="15.75" thickBot="1" x14ac:dyDescent="0.3">
      <c r="A36" s="485" t="s">
        <v>256</v>
      </c>
      <c r="B36" s="522"/>
      <c r="C36" s="523"/>
      <c r="D36" s="523"/>
      <c r="E36" s="817"/>
      <c r="F36" s="818"/>
      <c r="G36" s="819"/>
      <c r="H36" s="571">
        <f>H32+H34+H35</f>
        <v>0</v>
      </c>
      <c r="I36" s="569"/>
      <c r="J36" s="570"/>
      <c r="K36" s="570"/>
      <c r="L36" s="771"/>
      <c r="M36" s="772"/>
      <c r="N36" s="773"/>
      <c r="O36" s="571">
        <f>SUM(O32:O35)</f>
        <v>302000</v>
      </c>
      <c r="P36" s="524">
        <f>SUM(P32:P35)</f>
        <v>302000</v>
      </c>
    </row>
    <row r="37" spans="1:19" s="292" customFormat="1" ht="7.9" customHeight="1" thickBot="1" x14ac:dyDescent="0.3">
      <c r="A37" s="816"/>
      <c r="B37" s="816"/>
      <c r="C37" s="816"/>
      <c r="D37" s="816"/>
      <c r="E37" s="816"/>
      <c r="F37" s="816"/>
      <c r="G37" s="816"/>
      <c r="H37" s="816"/>
      <c r="I37" s="816"/>
      <c r="J37" s="816"/>
      <c r="K37" s="816"/>
      <c r="L37" s="816"/>
      <c r="M37" s="816"/>
      <c r="N37" s="816"/>
      <c r="O37" s="816"/>
      <c r="P37" s="811"/>
    </row>
    <row r="38" spans="1:19" ht="38.25" x14ac:dyDescent="0.25">
      <c r="A38" s="647" t="s">
        <v>277</v>
      </c>
      <c r="B38" s="494">
        <v>1</v>
      </c>
      <c r="C38" s="494"/>
      <c r="D38" s="495"/>
      <c r="E38" s="822"/>
      <c r="F38" s="822"/>
      <c r="G38" s="822"/>
      <c r="H38" s="623"/>
      <c r="I38" s="498">
        <v>1</v>
      </c>
      <c r="J38" s="494"/>
      <c r="K38" s="495">
        <v>40000</v>
      </c>
      <c r="L38" s="822">
        <v>1</v>
      </c>
      <c r="M38" s="822"/>
      <c r="N38" s="822"/>
      <c r="O38" s="624">
        <f>K38*B38</f>
        <v>40000</v>
      </c>
      <c r="P38" s="521">
        <f t="shared" ref="P38" si="1">O38+H38</f>
        <v>40000</v>
      </c>
    </row>
    <row r="39" spans="1:19" s="292" customFormat="1" ht="45.75" thickBot="1" x14ac:dyDescent="0.3">
      <c r="A39" s="628" t="s">
        <v>257</v>
      </c>
      <c r="B39" s="525"/>
      <c r="C39" s="525"/>
      <c r="D39" s="525"/>
      <c r="E39" s="769"/>
      <c r="F39" s="769"/>
      <c r="G39" s="769"/>
      <c r="H39" s="527">
        <f>H34+H35+H38</f>
        <v>0</v>
      </c>
      <c r="I39" s="461"/>
      <c r="J39" s="526"/>
      <c r="K39" s="526"/>
      <c r="L39" s="813"/>
      <c r="M39" s="813"/>
      <c r="N39" s="813"/>
      <c r="O39" s="460">
        <f>SUM(O38)</f>
        <v>40000</v>
      </c>
      <c r="P39" s="568">
        <f>SUM(P38)</f>
        <v>40000</v>
      </c>
    </row>
    <row r="40" spans="1:19" s="576" customFormat="1" ht="16.5" thickBot="1" x14ac:dyDescent="0.3">
      <c r="A40" s="766" t="s">
        <v>255</v>
      </c>
      <c r="B40" s="767"/>
      <c r="C40" s="767"/>
      <c r="D40" s="767"/>
      <c r="E40" s="767"/>
      <c r="F40" s="767"/>
      <c r="G40" s="768"/>
      <c r="H40" s="627">
        <f>H36+H39</f>
        <v>0</v>
      </c>
      <c r="I40" s="629"/>
      <c r="J40" s="630"/>
      <c r="K40" s="630"/>
      <c r="L40" s="631"/>
      <c r="M40" s="630"/>
      <c r="N40" s="630"/>
      <c r="O40" s="632">
        <f>O36+O39</f>
        <v>342000</v>
      </c>
      <c r="P40" s="583">
        <f>P36+P39</f>
        <v>342000</v>
      </c>
      <c r="S40" s="577"/>
    </row>
    <row r="41" spans="1:19" x14ac:dyDescent="0.25">
      <c r="A41" s="528"/>
      <c r="H41" s="529"/>
      <c r="I41" s="529"/>
      <c r="O41" s="529"/>
      <c r="P41" s="529"/>
    </row>
    <row r="42" spans="1:19" ht="18.75" x14ac:dyDescent="0.3">
      <c r="A42" s="528"/>
      <c r="B42" s="777" t="s">
        <v>175</v>
      </c>
      <c r="C42" s="777"/>
      <c r="D42" s="777"/>
      <c r="E42" s="777"/>
      <c r="F42" s="777"/>
      <c r="G42" s="777"/>
    </row>
    <row r="43" spans="1:19" ht="15.75" thickBot="1" x14ac:dyDescent="0.3">
      <c r="A43" s="528"/>
      <c r="B43" s="456"/>
      <c r="C43" s="456"/>
      <c r="D43" s="456"/>
      <c r="E43" s="456"/>
      <c r="F43" s="456"/>
      <c r="G43" s="456"/>
    </row>
    <row r="44" spans="1:19" ht="15.75" thickBot="1" x14ac:dyDescent="0.3">
      <c r="B44" s="411"/>
      <c r="C44" s="760" t="s">
        <v>210</v>
      </c>
      <c r="D44" s="761"/>
      <c r="E44" s="761"/>
      <c r="F44" s="761"/>
      <c r="G44" s="761"/>
      <c r="H44" s="762"/>
      <c r="I44" s="795" t="s">
        <v>220</v>
      </c>
      <c r="J44" s="783"/>
      <c r="K44" s="783"/>
      <c r="L44" s="783"/>
      <c r="M44" s="783"/>
      <c r="N44" s="783"/>
      <c r="O44" s="796"/>
      <c r="P44" s="811" t="s">
        <v>222</v>
      </c>
    </row>
    <row r="45" spans="1:19" s="292" customFormat="1" ht="25.9" customHeight="1" thickBot="1" x14ac:dyDescent="0.3">
      <c r="A45" s="801"/>
      <c r="B45" s="802"/>
      <c r="C45" s="486"/>
      <c r="D45" s="562" t="s">
        <v>225</v>
      </c>
      <c r="E45" s="792" t="s">
        <v>176</v>
      </c>
      <c r="F45" s="792"/>
      <c r="G45" s="792"/>
      <c r="H45" s="564" t="s">
        <v>226</v>
      </c>
      <c r="I45" s="565"/>
      <c r="J45" s="563"/>
      <c r="K45" s="562" t="s">
        <v>225</v>
      </c>
      <c r="L45" s="792" t="s">
        <v>176</v>
      </c>
      <c r="M45" s="792"/>
      <c r="N45" s="792"/>
      <c r="O45" s="566" t="s">
        <v>63</v>
      </c>
      <c r="P45" s="812"/>
    </row>
    <row r="46" spans="1:19" x14ac:dyDescent="0.25">
      <c r="A46" s="803" t="s">
        <v>112</v>
      </c>
      <c r="B46" s="804"/>
      <c r="C46" s="556"/>
      <c r="D46" s="557">
        <f>H14</f>
        <v>287500</v>
      </c>
      <c r="E46" s="793">
        <f>D46/100*30.2</f>
        <v>86825</v>
      </c>
      <c r="F46" s="793"/>
      <c r="G46" s="793"/>
      <c r="H46" s="558">
        <f>D46+E46</f>
        <v>374325</v>
      </c>
      <c r="I46" s="559"/>
      <c r="J46" s="560"/>
      <c r="K46" s="557">
        <f>O14</f>
        <v>560000</v>
      </c>
      <c r="L46" s="793">
        <f>K46/100*30.2</f>
        <v>169120</v>
      </c>
      <c r="M46" s="793"/>
      <c r="N46" s="793"/>
      <c r="O46" s="561">
        <f>K46+L46</f>
        <v>729120</v>
      </c>
      <c r="P46" s="534">
        <f>H46+O46</f>
        <v>1103445</v>
      </c>
      <c r="R46" s="535">
        <f>Смета!O14+Смета!O15-'Штатное расписание 25'!P46</f>
        <v>0</v>
      </c>
    </row>
    <row r="47" spans="1:19" x14ac:dyDescent="0.25">
      <c r="A47" s="805" t="s">
        <v>224</v>
      </c>
      <c r="B47" s="806"/>
      <c r="C47" s="536"/>
      <c r="D47" s="530">
        <f>H23</f>
        <v>1460400</v>
      </c>
      <c r="E47" s="794">
        <f>D47/100*30.2</f>
        <v>441040.8</v>
      </c>
      <c r="F47" s="794"/>
      <c r="G47" s="794"/>
      <c r="H47" s="531">
        <f t="shared" ref="H47:H48" si="2">D47+E47</f>
        <v>1901440.8</v>
      </c>
      <c r="I47" s="532"/>
      <c r="J47" s="537"/>
      <c r="K47" s="530">
        <f>O23</f>
        <v>2530000</v>
      </c>
      <c r="L47" s="794">
        <f>K47/100*30.2</f>
        <v>764060</v>
      </c>
      <c r="M47" s="794"/>
      <c r="N47" s="794"/>
      <c r="O47" s="533">
        <f t="shared" ref="O47:O48" si="3">K47+L47</f>
        <v>3294060</v>
      </c>
      <c r="P47" s="534">
        <f t="shared" ref="P47:P49" si="4">H47+O47</f>
        <v>5195500.8</v>
      </c>
    </row>
    <row r="48" spans="1:19" ht="15.75" thickBot="1" x14ac:dyDescent="0.3">
      <c r="A48" s="799" t="s">
        <v>114</v>
      </c>
      <c r="B48" s="800"/>
      <c r="C48" s="538"/>
      <c r="D48" s="539">
        <f>H36</f>
        <v>0</v>
      </c>
      <c r="E48" s="791">
        <f>D48/100*30.2</f>
        <v>0</v>
      </c>
      <c r="F48" s="791"/>
      <c r="G48" s="791"/>
      <c r="H48" s="540">
        <f t="shared" si="2"/>
        <v>0</v>
      </c>
      <c r="I48" s="541"/>
      <c r="J48" s="482"/>
      <c r="K48" s="539">
        <f>O36</f>
        <v>302000</v>
      </c>
      <c r="L48" s="791">
        <f>K48/100*30.2</f>
        <v>91204</v>
      </c>
      <c r="M48" s="791"/>
      <c r="N48" s="791"/>
      <c r="O48" s="542">
        <f t="shared" si="3"/>
        <v>393204</v>
      </c>
      <c r="P48" s="543">
        <f t="shared" si="4"/>
        <v>393204</v>
      </c>
    </row>
    <row r="49" spans="1:19" s="292" customFormat="1" ht="15.75" thickBot="1" x14ac:dyDescent="0.3">
      <c r="A49" s="795" t="s">
        <v>256</v>
      </c>
      <c r="B49" s="796"/>
      <c r="C49" s="544"/>
      <c r="D49" s="545">
        <f>SUM(D46:D48)</f>
        <v>1747900</v>
      </c>
      <c r="E49" s="797">
        <f>SUM(E46:G48)</f>
        <v>527865.80000000005</v>
      </c>
      <c r="F49" s="798"/>
      <c r="G49" s="798"/>
      <c r="H49" s="546">
        <f>H46+H47+H48</f>
        <v>2275765.7999999998</v>
      </c>
      <c r="I49" s="547"/>
      <c r="J49" s="548"/>
      <c r="K49" s="545">
        <f>SUM(K46:K48)</f>
        <v>3392000</v>
      </c>
      <c r="L49" s="797">
        <f>SUM(L46:N48)</f>
        <v>1024384</v>
      </c>
      <c r="M49" s="798"/>
      <c r="N49" s="798"/>
      <c r="O49" s="549">
        <f>O46+O47+O48</f>
        <v>4416384</v>
      </c>
      <c r="P49" s="550">
        <f t="shared" si="4"/>
        <v>6692149.7999999998</v>
      </c>
      <c r="S49" s="293"/>
    </row>
    <row r="50" spans="1:19" s="292" customFormat="1" ht="7.9" customHeight="1" thickBot="1" x14ac:dyDescent="0.3">
      <c r="A50" s="783"/>
      <c r="B50" s="783"/>
      <c r="C50" s="783"/>
      <c r="D50" s="783"/>
      <c r="E50" s="783"/>
      <c r="F50" s="783"/>
      <c r="G50" s="783"/>
      <c r="H50" s="783"/>
      <c r="I50" s="783"/>
      <c r="J50" s="783"/>
      <c r="K50" s="783"/>
      <c r="L50" s="783"/>
      <c r="M50" s="783"/>
      <c r="N50" s="783"/>
      <c r="O50" s="783"/>
      <c r="P50" s="783"/>
      <c r="S50" s="293"/>
    </row>
    <row r="51" spans="1:19" x14ac:dyDescent="0.25">
      <c r="A51" s="785" t="s">
        <v>224</v>
      </c>
      <c r="B51" s="786"/>
      <c r="C51" s="587"/>
      <c r="D51" s="598">
        <f>H28</f>
        <v>0</v>
      </c>
      <c r="E51" s="787">
        <f>D51/100*30.2</f>
        <v>0</v>
      </c>
      <c r="F51" s="787"/>
      <c r="G51" s="787"/>
      <c r="H51" s="599">
        <f t="shared" ref="H51:H52" si="5">D51+E51</f>
        <v>0</v>
      </c>
      <c r="I51" s="589"/>
      <c r="J51" s="587"/>
      <c r="K51" s="588">
        <f>P25</f>
        <v>280000</v>
      </c>
      <c r="L51" s="787">
        <f>K51/100*30.2</f>
        <v>84560</v>
      </c>
      <c r="M51" s="787"/>
      <c r="N51" s="787"/>
      <c r="O51" s="590">
        <f t="shared" ref="O51:O52" si="6">K51+L51</f>
        <v>364560</v>
      </c>
      <c r="P51" s="591">
        <f t="shared" ref="P51:P52" si="7">H51+O51</f>
        <v>364560</v>
      </c>
    </row>
    <row r="52" spans="1:19" ht="15.75" thickBot="1" x14ac:dyDescent="0.3">
      <c r="A52" s="788" t="s">
        <v>114</v>
      </c>
      <c r="B52" s="789"/>
      <c r="C52" s="592"/>
      <c r="D52" s="593">
        <f>H41</f>
        <v>0</v>
      </c>
      <c r="E52" s="790">
        <f>D52/100*30.2</f>
        <v>0</v>
      </c>
      <c r="F52" s="790"/>
      <c r="G52" s="790"/>
      <c r="H52" s="594">
        <f t="shared" si="5"/>
        <v>0</v>
      </c>
      <c r="I52" s="595"/>
      <c r="J52" s="592"/>
      <c r="K52" s="593">
        <f>P38</f>
        <v>40000</v>
      </c>
      <c r="L52" s="790">
        <f>K52/100*30.2</f>
        <v>12080</v>
      </c>
      <c r="M52" s="790"/>
      <c r="N52" s="790"/>
      <c r="O52" s="596">
        <f t="shared" si="6"/>
        <v>52080</v>
      </c>
      <c r="P52" s="597">
        <f t="shared" si="7"/>
        <v>52080</v>
      </c>
    </row>
    <row r="53" spans="1:19" s="292" customFormat="1" ht="26.45" customHeight="1" thickBot="1" x14ac:dyDescent="0.3">
      <c r="A53" s="780" t="s">
        <v>257</v>
      </c>
      <c r="B53" s="781"/>
      <c r="C53" s="544"/>
      <c r="D53" s="545"/>
      <c r="E53" s="782"/>
      <c r="F53" s="783"/>
      <c r="G53" s="784"/>
      <c r="H53" s="546"/>
      <c r="I53" s="547"/>
      <c r="J53" s="584"/>
      <c r="K53" s="545">
        <f>O26+O39</f>
        <v>320000</v>
      </c>
      <c r="L53" s="782">
        <f>K53/100*30.2</f>
        <v>96640</v>
      </c>
      <c r="M53" s="783"/>
      <c r="N53" s="784"/>
      <c r="O53" s="549">
        <f>K53+L53</f>
        <v>416640</v>
      </c>
      <c r="P53" s="550">
        <f>H53+O53</f>
        <v>416640</v>
      </c>
      <c r="S53" s="293"/>
    </row>
    <row r="54" spans="1:19" s="292" customFormat="1" ht="16.5" thickBot="1" x14ac:dyDescent="0.3">
      <c r="A54" s="600" t="s">
        <v>258</v>
      </c>
      <c r="B54" s="585"/>
      <c r="C54" s="585"/>
      <c r="D54" s="585"/>
      <c r="E54" s="585"/>
      <c r="F54" s="585"/>
      <c r="G54" s="585"/>
      <c r="H54" s="601">
        <f>H49+H53</f>
        <v>2275765.7999999998</v>
      </c>
      <c r="I54" s="586"/>
      <c r="J54" s="586"/>
      <c r="K54" s="586"/>
      <c r="L54" s="586"/>
      <c r="M54" s="586"/>
      <c r="N54" s="586"/>
      <c r="O54" s="601">
        <f>O49+O53</f>
        <v>4833024</v>
      </c>
      <c r="P54" s="462">
        <f>P49+P53</f>
        <v>7108789.7999999998</v>
      </c>
    </row>
    <row r="55" spans="1:19" hidden="1" outlineLevel="1" x14ac:dyDescent="0.25">
      <c r="E55" s="551">
        <f>E46</f>
        <v>86825</v>
      </c>
      <c r="L55" s="551">
        <f>L46</f>
        <v>169120</v>
      </c>
      <c r="P55" s="535"/>
    </row>
    <row r="56" spans="1:19" hidden="1" outlineLevel="1" x14ac:dyDescent="0.25">
      <c r="E56" s="551">
        <f>E47</f>
        <v>441040.8</v>
      </c>
      <c r="L56" s="551">
        <f t="shared" ref="L56:L57" si="8">L47</f>
        <v>764060</v>
      </c>
      <c r="P56" s="507"/>
    </row>
    <row r="57" spans="1:19" hidden="1" outlineLevel="1" x14ac:dyDescent="0.25">
      <c r="E57" s="551">
        <f>E48</f>
        <v>0</v>
      </c>
      <c r="L57" s="551">
        <f t="shared" si="8"/>
        <v>91204</v>
      </c>
    </row>
    <row r="58" spans="1:19" hidden="1" outlineLevel="1" x14ac:dyDescent="0.25">
      <c r="L58" s="551">
        <f>L53</f>
        <v>96640</v>
      </c>
    </row>
    <row r="59" spans="1:19" collapsed="1" x14ac:dyDescent="0.25"/>
    <row r="61" spans="1:19" x14ac:dyDescent="0.25">
      <c r="L61" s="535"/>
      <c r="P61" s="507"/>
    </row>
  </sheetData>
  <mergeCells count="67">
    <mergeCell ref="E32:G32"/>
    <mergeCell ref="E38:G38"/>
    <mergeCell ref="H20:H21"/>
    <mergeCell ref="E31:G31"/>
    <mergeCell ref="L31:N31"/>
    <mergeCell ref="B6:G6"/>
    <mergeCell ref="B7:G7"/>
    <mergeCell ref="D8:E8"/>
    <mergeCell ref="C10:H10"/>
    <mergeCell ref="P10:P11"/>
    <mergeCell ref="P30:P31"/>
    <mergeCell ref="P20:P21"/>
    <mergeCell ref="P44:P45"/>
    <mergeCell ref="L39:N39"/>
    <mergeCell ref="I10:O10"/>
    <mergeCell ref="I44:O44"/>
    <mergeCell ref="A37:P37"/>
    <mergeCell ref="E36:G36"/>
    <mergeCell ref="C30:H30"/>
    <mergeCell ref="E34:G34"/>
    <mergeCell ref="L38:N38"/>
    <mergeCell ref="L33:N33"/>
    <mergeCell ref="I30:O30"/>
    <mergeCell ref="E33:G33"/>
    <mergeCell ref="L32:N32"/>
    <mergeCell ref="L34:N34"/>
    <mergeCell ref="A50:P50"/>
    <mergeCell ref="L48:N48"/>
    <mergeCell ref="L45:N45"/>
    <mergeCell ref="L46:N46"/>
    <mergeCell ref="L47:N47"/>
    <mergeCell ref="A49:B49"/>
    <mergeCell ref="E49:G49"/>
    <mergeCell ref="A48:B48"/>
    <mergeCell ref="A45:B45"/>
    <mergeCell ref="E45:G45"/>
    <mergeCell ref="A46:B46"/>
    <mergeCell ref="A47:B47"/>
    <mergeCell ref="E46:G46"/>
    <mergeCell ref="E47:G47"/>
    <mergeCell ref="E48:G48"/>
    <mergeCell ref="L49:N49"/>
    <mergeCell ref="A53:B53"/>
    <mergeCell ref="E53:G53"/>
    <mergeCell ref="A51:B51"/>
    <mergeCell ref="E51:G51"/>
    <mergeCell ref="L51:N51"/>
    <mergeCell ref="A52:B52"/>
    <mergeCell ref="E52:G52"/>
    <mergeCell ref="L52:N52"/>
    <mergeCell ref="L53:N53"/>
    <mergeCell ref="M1:P1"/>
    <mergeCell ref="A20:A21"/>
    <mergeCell ref="B12:G12"/>
    <mergeCell ref="B20:B21"/>
    <mergeCell ref="C44:H44"/>
    <mergeCell ref="A27:G27"/>
    <mergeCell ref="A40:G40"/>
    <mergeCell ref="E39:G39"/>
    <mergeCell ref="L35:N35"/>
    <mergeCell ref="L36:N36"/>
    <mergeCell ref="M2:P2"/>
    <mergeCell ref="E35:G35"/>
    <mergeCell ref="B42:G42"/>
    <mergeCell ref="B16:G16"/>
    <mergeCell ref="A29:H29"/>
    <mergeCell ref="G3:H3"/>
  </mergeCells>
  <pageMargins left="0.19685039370078741" right="0.31496062992125984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A958-F843-4338-A5BA-A18FFA29219A}">
  <dimension ref="A1:D17"/>
  <sheetViews>
    <sheetView workbookViewId="0">
      <selection activeCell="G17" sqref="G17"/>
    </sheetView>
  </sheetViews>
  <sheetFormatPr defaultRowHeight="15" x14ac:dyDescent="0.25"/>
  <cols>
    <col min="1" max="1" width="24.85546875" bestFit="1" customWidth="1"/>
    <col min="2" max="3" width="11.28515625" bestFit="1" customWidth="1"/>
    <col min="4" max="4" width="14.140625" bestFit="1" customWidth="1"/>
  </cols>
  <sheetData>
    <row r="1" spans="1:4" ht="31.5" x14ac:dyDescent="0.25">
      <c r="A1" s="39" t="s">
        <v>55</v>
      </c>
      <c r="B1" s="38" t="s">
        <v>58</v>
      </c>
      <c r="C1" s="38" t="s">
        <v>59</v>
      </c>
      <c r="D1" s="37" t="s">
        <v>121</v>
      </c>
    </row>
    <row r="2" spans="1:4" ht="15.75" x14ac:dyDescent="0.25">
      <c r="A2" s="37" t="s">
        <v>119</v>
      </c>
      <c r="B2" s="285">
        <v>60000</v>
      </c>
      <c r="C2" s="285"/>
      <c r="D2" s="285">
        <f t="shared" ref="D2:D8" si="0">B2*12+C2*4</f>
        <v>720000</v>
      </c>
    </row>
    <row r="3" spans="1:4" ht="15.75" x14ac:dyDescent="0.25">
      <c r="A3" s="37" t="s">
        <v>57</v>
      </c>
      <c r="B3" s="285">
        <v>13227.5</v>
      </c>
      <c r="C3" s="285">
        <v>15000</v>
      </c>
      <c r="D3" s="285">
        <f t="shared" si="0"/>
        <v>218730</v>
      </c>
    </row>
    <row r="4" spans="1:4" ht="15.75" x14ac:dyDescent="0.25">
      <c r="A4" s="37" t="s">
        <v>60</v>
      </c>
      <c r="B4" s="285">
        <v>5000</v>
      </c>
      <c r="C4" s="285"/>
      <c r="D4" s="285">
        <f t="shared" si="0"/>
        <v>60000</v>
      </c>
    </row>
    <row r="5" spans="1:4" ht="15.75" x14ac:dyDescent="0.25">
      <c r="A5" s="37" t="s">
        <v>61</v>
      </c>
      <c r="B5" s="285">
        <v>17000</v>
      </c>
      <c r="C5" s="285"/>
      <c r="D5" s="285">
        <f t="shared" si="0"/>
        <v>204000</v>
      </c>
    </row>
    <row r="6" spans="1:4" ht="15.75" x14ac:dyDescent="0.25">
      <c r="A6" s="37" t="s">
        <v>62</v>
      </c>
      <c r="B6" s="285">
        <v>10500</v>
      </c>
      <c r="C6" s="285"/>
      <c r="D6" s="285">
        <f t="shared" si="0"/>
        <v>126000</v>
      </c>
    </row>
    <row r="7" spans="1:4" ht="15.75" x14ac:dyDescent="0.25">
      <c r="A7" s="37" t="s">
        <v>65</v>
      </c>
      <c r="B7" s="285">
        <v>5500</v>
      </c>
      <c r="C7" s="285"/>
      <c r="D7" s="285">
        <f t="shared" si="0"/>
        <v>66000</v>
      </c>
    </row>
    <row r="8" spans="1:4" ht="15.75" x14ac:dyDescent="0.25">
      <c r="A8" s="37" t="s">
        <v>120</v>
      </c>
      <c r="B8" s="285">
        <v>6000</v>
      </c>
      <c r="C8" s="285"/>
      <c r="D8" s="285">
        <f t="shared" si="0"/>
        <v>72000</v>
      </c>
    </row>
    <row r="9" spans="1:4" ht="15.75" x14ac:dyDescent="0.25">
      <c r="A9" s="39" t="s">
        <v>63</v>
      </c>
      <c r="B9" s="286"/>
      <c r="C9" s="286"/>
      <c r="D9" s="286">
        <f>SUM(D2:D8)</f>
        <v>1466730</v>
      </c>
    </row>
    <row r="10" spans="1:4" ht="15.75" x14ac:dyDescent="0.25">
      <c r="A10" s="37"/>
      <c r="B10" s="285"/>
      <c r="C10" s="285"/>
      <c r="D10" s="285"/>
    </row>
    <row r="11" spans="1:4" ht="15.75" x14ac:dyDescent="0.25">
      <c r="A11" s="39" t="s">
        <v>64</v>
      </c>
      <c r="B11" s="285"/>
      <c r="C11" s="285"/>
      <c r="D11" s="285"/>
    </row>
    <row r="12" spans="1:4" ht="15.75" x14ac:dyDescent="0.25">
      <c r="A12" s="37" t="s">
        <v>66</v>
      </c>
      <c r="B12" s="285">
        <v>4986</v>
      </c>
      <c r="C12" s="285"/>
      <c r="D12" s="285">
        <f>B12*12+C12*4</f>
        <v>59832</v>
      </c>
    </row>
    <row r="13" spans="1:4" ht="15.75" x14ac:dyDescent="0.25">
      <c r="A13" s="37" t="s">
        <v>67</v>
      </c>
      <c r="B13" s="285"/>
      <c r="C13" s="285">
        <f>4576.5+1303.8</f>
        <v>5880.3</v>
      </c>
      <c r="D13" s="285">
        <f>B13*12+C13*4</f>
        <v>23521.200000000001</v>
      </c>
    </row>
    <row r="14" spans="1:4" ht="15.75" x14ac:dyDescent="0.25">
      <c r="A14" s="37" t="s">
        <v>68</v>
      </c>
      <c r="B14" s="285">
        <v>900</v>
      </c>
      <c r="C14" s="285"/>
      <c r="D14" s="285">
        <f>B14*12+C14*4</f>
        <v>10800</v>
      </c>
    </row>
    <row r="15" spans="1:4" ht="15.75" x14ac:dyDescent="0.25">
      <c r="A15" s="37"/>
      <c r="B15" s="37"/>
      <c r="C15" s="37"/>
      <c r="D15" s="37">
        <f>B15*12+C15*4</f>
        <v>0</v>
      </c>
    </row>
    <row r="16" spans="1:4" ht="15.75" x14ac:dyDescent="0.25">
      <c r="A16" s="39" t="s">
        <v>63</v>
      </c>
      <c r="B16" s="39"/>
      <c r="C16" s="39"/>
      <c r="D16" s="39">
        <f>SUM(D12:D15)</f>
        <v>94153.2</v>
      </c>
    </row>
    <row r="17" spans="1:4" ht="15.75" x14ac:dyDescent="0.25">
      <c r="A17" s="37"/>
      <c r="B17" s="37"/>
      <c r="C17" s="37"/>
      <c r="D17" s="37">
        <f>D9+D16</f>
        <v>1560883.2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0"/>
  <sheetViews>
    <sheetView workbookViewId="0">
      <selection activeCell="F24" sqref="F24:F25"/>
    </sheetView>
  </sheetViews>
  <sheetFormatPr defaultRowHeight="15" outlineLevelCol="1" x14ac:dyDescent="0.25"/>
  <cols>
    <col min="1" max="1" width="23.28515625" customWidth="1"/>
    <col min="2" max="2" width="8.140625" bestFit="1" customWidth="1"/>
    <col min="3" max="3" width="6" bestFit="1" customWidth="1"/>
    <col min="4" max="4" width="3.28515625" customWidth="1"/>
    <col min="5" max="5" width="17.28515625" style="76" hidden="1" customWidth="1" outlineLevel="1"/>
    <col min="6" max="6" width="15.85546875" style="69" customWidth="1" collapsed="1"/>
    <col min="7" max="7" width="14.7109375" style="80" hidden="1" customWidth="1" outlineLevel="1"/>
    <col min="8" max="8" width="18" style="96" bestFit="1" customWidth="1" collapsed="1"/>
    <col min="9" max="9" width="16" bestFit="1" customWidth="1"/>
  </cols>
  <sheetData>
    <row r="1" spans="1:9" x14ac:dyDescent="0.25">
      <c r="E1" s="70"/>
      <c r="F1" s="61"/>
      <c r="G1" s="81"/>
      <c r="H1" s="863" t="s">
        <v>161</v>
      </c>
      <c r="I1" s="863"/>
    </row>
    <row r="2" spans="1:9" x14ac:dyDescent="0.25">
      <c r="E2" s="70"/>
      <c r="F2" s="61"/>
      <c r="G2" s="81"/>
      <c r="H2" s="863" t="s">
        <v>91</v>
      </c>
      <c r="I2" s="863"/>
    </row>
    <row r="3" spans="1:9" x14ac:dyDescent="0.25">
      <c r="E3" s="70"/>
      <c r="F3" s="61"/>
      <c r="G3" s="81"/>
      <c r="H3" s="863"/>
      <c r="I3" s="863"/>
    </row>
    <row r="4" spans="1:9" x14ac:dyDescent="0.25">
      <c r="E4" s="58"/>
      <c r="F4" s="863" t="s">
        <v>92</v>
      </c>
      <c r="G4" s="863"/>
      <c r="H4" s="863"/>
      <c r="I4" s="863"/>
    </row>
    <row r="5" spans="1:9" x14ac:dyDescent="0.25">
      <c r="E5" s="71"/>
      <c r="F5" s="67"/>
      <c r="G5" s="77"/>
      <c r="H5" s="56"/>
      <c r="I5" s="56"/>
    </row>
    <row r="6" spans="1:9" ht="18.75" x14ac:dyDescent="0.3">
      <c r="A6" s="864" t="s">
        <v>164</v>
      </c>
      <c r="B6" s="864"/>
      <c r="C6" s="864"/>
      <c r="D6" s="864"/>
      <c r="E6" s="864"/>
      <c r="F6" s="864"/>
      <c r="G6" s="864"/>
      <c r="H6" s="864"/>
      <c r="I6" s="864"/>
    </row>
    <row r="7" spans="1:9" ht="18.75" x14ac:dyDescent="0.3">
      <c r="A7" s="864" t="s">
        <v>93</v>
      </c>
      <c r="B7" s="864"/>
      <c r="C7" s="864"/>
      <c r="D7" s="864"/>
      <c r="E7" s="864"/>
      <c r="F7" s="864"/>
      <c r="G7" s="864"/>
      <c r="H7" s="864"/>
      <c r="I7" s="864"/>
    </row>
    <row r="8" spans="1:9" ht="18.75" x14ac:dyDescent="0.3">
      <c r="A8" s="864" t="s">
        <v>94</v>
      </c>
      <c r="B8" s="864"/>
      <c r="C8" s="864"/>
      <c r="D8" s="864"/>
      <c r="E8" s="864"/>
      <c r="F8" s="864"/>
      <c r="G8" s="864"/>
      <c r="H8" s="864"/>
      <c r="I8" s="864"/>
    </row>
    <row r="9" spans="1:9" x14ac:dyDescent="0.25">
      <c r="I9" s="282">
        <v>45316</v>
      </c>
    </row>
    <row r="10" spans="1:9" s="59" customFormat="1" ht="38.25" x14ac:dyDescent="0.25">
      <c r="A10" s="60" t="s">
        <v>95</v>
      </c>
      <c r="B10" s="57" t="s">
        <v>96</v>
      </c>
      <c r="C10" s="849" t="s">
        <v>97</v>
      </c>
      <c r="D10" s="849"/>
      <c r="E10" s="72" t="s">
        <v>98</v>
      </c>
      <c r="F10" s="62" t="s">
        <v>134</v>
      </c>
      <c r="G10" s="78" t="s">
        <v>99</v>
      </c>
      <c r="H10" s="62" t="s">
        <v>100</v>
      </c>
      <c r="I10" s="62" t="s">
        <v>130</v>
      </c>
    </row>
    <row r="11" spans="1:9" x14ac:dyDescent="0.25">
      <c r="A11" s="853"/>
      <c r="B11" s="853"/>
      <c r="C11" s="853"/>
      <c r="D11" s="853"/>
      <c r="E11" s="853"/>
      <c r="F11" s="853"/>
      <c r="G11" s="853"/>
      <c r="H11" s="853"/>
      <c r="I11" s="853"/>
    </row>
    <row r="12" spans="1:9" x14ac:dyDescent="0.25">
      <c r="A12" s="174" t="s">
        <v>69</v>
      </c>
      <c r="B12" s="174">
        <v>1</v>
      </c>
      <c r="C12" s="852">
        <v>12</v>
      </c>
      <c r="D12" s="852"/>
      <c r="E12" s="73">
        <v>70000</v>
      </c>
      <c r="F12" s="68">
        <v>70000</v>
      </c>
      <c r="G12" s="79">
        <f>(F12-E12)/E12/2</f>
        <v>0</v>
      </c>
      <c r="H12" s="85">
        <f>F12</f>
        <v>70000</v>
      </c>
      <c r="I12" s="86">
        <f>H12*C12</f>
        <v>840000</v>
      </c>
    </row>
    <row r="13" spans="1:9" x14ac:dyDescent="0.25">
      <c r="A13" s="174" t="s">
        <v>70</v>
      </c>
      <c r="B13" s="174">
        <v>1</v>
      </c>
      <c r="C13" s="852">
        <v>12</v>
      </c>
      <c r="D13" s="852"/>
      <c r="E13" s="73">
        <v>57500</v>
      </c>
      <c r="F13" s="68">
        <v>57500</v>
      </c>
      <c r="G13" s="79">
        <f>(F13-E13)/E13/2</f>
        <v>0</v>
      </c>
      <c r="H13" s="85">
        <f t="shared" ref="H13" si="0">F13</f>
        <v>57500</v>
      </c>
      <c r="I13" s="86">
        <f t="shared" ref="I13" si="1">H13*C13</f>
        <v>690000</v>
      </c>
    </row>
    <row r="14" spans="1:9" s="36" customFormat="1" x14ac:dyDescent="0.25">
      <c r="A14" s="87" t="s">
        <v>63</v>
      </c>
      <c r="B14" s="87">
        <f>SUM(B12:B13)</f>
        <v>2</v>
      </c>
      <c r="C14" s="853"/>
      <c r="D14" s="853"/>
      <c r="E14" s="74">
        <f>(E12+E13)*12</f>
        <v>1530000</v>
      </c>
      <c r="F14" s="63"/>
      <c r="G14" s="82">
        <f>(I14-E14)/E14</f>
        <v>0</v>
      </c>
      <c r="H14" s="63">
        <f>SUM(H12:H13)</f>
        <v>127500</v>
      </c>
      <c r="I14" s="88">
        <f>SUM(I12:I13)</f>
        <v>1530000</v>
      </c>
    </row>
    <row r="15" spans="1:9" s="36" customFormat="1" x14ac:dyDescent="0.25">
      <c r="C15" s="89"/>
      <c r="D15" s="89"/>
      <c r="E15" s="75"/>
      <c r="F15" s="64"/>
      <c r="G15" s="83"/>
      <c r="H15" s="90"/>
      <c r="I15" s="41"/>
    </row>
    <row r="16" spans="1:9" x14ac:dyDescent="0.25">
      <c r="A16" s="853" t="s">
        <v>101</v>
      </c>
      <c r="B16" s="853"/>
      <c r="C16" s="853"/>
      <c r="D16" s="853"/>
      <c r="E16" s="853"/>
      <c r="F16" s="853"/>
      <c r="G16" s="853"/>
      <c r="H16" s="853"/>
      <c r="I16" s="853"/>
    </row>
    <row r="17" spans="1:9" x14ac:dyDescent="0.25">
      <c r="A17" s="84" t="s">
        <v>71</v>
      </c>
      <c r="B17" s="84">
        <v>1</v>
      </c>
      <c r="C17" s="852">
        <v>12</v>
      </c>
      <c r="D17" s="852"/>
      <c r="E17" s="73">
        <v>57500</v>
      </c>
      <c r="F17" s="68">
        <v>57500</v>
      </c>
      <c r="G17" s="79">
        <f t="shared" ref="G17:G23" si="2">(F17-E17)/E17</f>
        <v>0</v>
      </c>
      <c r="H17" s="85">
        <f>B17*F17</f>
        <v>57500</v>
      </c>
      <c r="I17" s="86">
        <f>H17*C17</f>
        <v>690000</v>
      </c>
    </row>
    <row r="18" spans="1:9" x14ac:dyDescent="0.25">
      <c r="A18" s="84" t="s">
        <v>162</v>
      </c>
      <c r="B18" s="84">
        <v>4</v>
      </c>
      <c r="C18" s="852">
        <v>12</v>
      </c>
      <c r="D18" s="852"/>
      <c r="E18" s="73">
        <v>30000</v>
      </c>
      <c r="F18" s="68">
        <v>33000</v>
      </c>
      <c r="G18" s="79">
        <f t="shared" si="2"/>
        <v>0.1</v>
      </c>
      <c r="H18" s="85">
        <f>B18*F18</f>
        <v>132000</v>
      </c>
      <c r="I18" s="86">
        <f>H18*C18</f>
        <v>1584000</v>
      </c>
    </row>
    <row r="19" spans="1:9" x14ac:dyDescent="0.25">
      <c r="A19" s="854" t="s">
        <v>103</v>
      </c>
      <c r="B19" s="855">
        <v>4</v>
      </c>
      <c r="C19" s="91" t="s">
        <v>104</v>
      </c>
      <c r="D19" s="84">
        <f>12-D20</f>
        <v>9</v>
      </c>
      <c r="E19" s="73">
        <v>17000</v>
      </c>
      <c r="F19" s="68">
        <v>18700</v>
      </c>
      <c r="G19" s="79">
        <f t="shared" si="2"/>
        <v>0.1</v>
      </c>
      <c r="H19" s="85">
        <f>B19*F19</f>
        <v>74800</v>
      </c>
      <c r="I19" s="842">
        <f>H19*D19+H20*D20</f>
        <v>937200</v>
      </c>
    </row>
    <row r="20" spans="1:9" x14ac:dyDescent="0.25">
      <c r="A20" s="854"/>
      <c r="B20" s="855"/>
      <c r="C20" s="91" t="s">
        <v>105</v>
      </c>
      <c r="D20" s="84">
        <v>3</v>
      </c>
      <c r="E20" s="73">
        <v>20000</v>
      </c>
      <c r="F20" s="68">
        <v>22000</v>
      </c>
      <c r="G20" s="79">
        <f t="shared" si="2"/>
        <v>0.1</v>
      </c>
      <c r="H20" s="85">
        <f>B19*F20</f>
        <v>88000</v>
      </c>
      <c r="I20" s="842"/>
    </row>
    <row r="21" spans="1:9" x14ac:dyDescent="0.25">
      <c r="A21" s="856" t="s">
        <v>106</v>
      </c>
      <c r="B21" s="855">
        <v>2</v>
      </c>
      <c r="C21" s="91" t="s">
        <v>104</v>
      </c>
      <c r="D21" s="84">
        <f>12-D22</f>
        <v>7</v>
      </c>
      <c r="E21" s="73">
        <v>32000</v>
      </c>
      <c r="F21" s="68">
        <v>40000</v>
      </c>
      <c r="G21" s="79">
        <f t="shared" si="2"/>
        <v>0.25</v>
      </c>
      <c r="H21" s="85">
        <f>B21*F21</f>
        <v>80000</v>
      </c>
      <c r="I21" s="860">
        <f>H21*D21+H22*D22+H23*D23</f>
        <v>1160000</v>
      </c>
    </row>
    <row r="22" spans="1:9" x14ac:dyDescent="0.25">
      <c r="A22" s="857"/>
      <c r="B22" s="855"/>
      <c r="C22" s="91" t="s">
        <v>105</v>
      </c>
      <c r="D22" s="84">
        <v>5</v>
      </c>
      <c r="E22" s="73">
        <v>36000</v>
      </c>
      <c r="F22" s="68">
        <v>40000</v>
      </c>
      <c r="G22" s="79">
        <f t="shared" si="2"/>
        <v>0.1111111111111111</v>
      </c>
      <c r="H22" s="85">
        <f>B21*F22</f>
        <v>80000</v>
      </c>
      <c r="I22" s="861"/>
    </row>
    <row r="23" spans="1:9" x14ac:dyDescent="0.25">
      <c r="A23" s="858"/>
      <c r="B23" s="84">
        <v>1</v>
      </c>
      <c r="C23" s="91" t="s">
        <v>105</v>
      </c>
      <c r="D23" s="84">
        <v>5</v>
      </c>
      <c r="E23" s="73">
        <v>25000</v>
      </c>
      <c r="F23" s="68">
        <v>40000</v>
      </c>
      <c r="G23" s="79">
        <f t="shared" si="2"/>
        <v>0.6</v>
      </c>
      <c r="H23" s="85">
        <f>B23*F23</f>
        <v>40000</v>
      </c>
      <c r="I23" s="862"/>
    </row>
    <row r="24" spans="1:9" s="36" customFormat="1" x14ac:dyDescent="0.25">
      <c r="A24" s="87" t="s">
        <v>63</v>
      </c>
      <c r="B24" s="87">
        <f>SUM(B17:B23)</f>
        <v>12</v>
      </c>
      <c r="C24" s="87"/>
      <c r="D24" s="87"/>
      <c r="E24" s="156">
        <f>E17*12+E18*B18*12+(E19*D19+E20*D20)*B19+(E21*D21+E22*D22)*B21+(E23*D23)</f>
        <v>3915000</v>
      </c>
      <c r="F24" s="63"/>
      <c r="G24" s="82">
        <f>(I24-E24)/E24</f>
        <v>0.11652618135376756</v>
      </c>
      <c r="H24" s="85"/>
      <c r="I24" s="88">
        <f>SUM(I17:I23)</f>
        <v>4371200</v>
      </c>
    </row>
    <row r="25" spans="1:9" s="95" customFormat="1" ht="15.75" x14ac:dyDescent="0.25">
      <c r="A25" s="92" t="s">
        <v>107</v>
      </c>
      <c r="B25" s="92">
        <f>B14+B24</f>
        <v>14</v>
      </c>
      <c r="C25" s="92"/>
      <c r="D25" s="92"/>
      <c r="E25" s="93"/>
      <c r="F25" s="92"/>
      <c r="G25" s="82"/>
      <c r="H25" s="92"/>
      <c r="I25" s="94">
        <f>I14+I24</f>
        <v>5901200</v>
      </c>
    </row>
    <row r="26" spans="1:9" x14ac:dyDescent="0.25">
      <c r="I26" s="40"/>
    </row>
    <row r="27" spans="1:9" ht="36" customHeight="1" x14ac:dyDescent="0.25">
      <c r="A27" s="859" t="s">
        <v>108</v>
      </c>
      <c r="B27" s="859"/>
      <c r="C27" s="859"/>
      <c r="D27" s="859"/>
      <c r="E27" s="859"/>
      <c r="F27" s="859"/>
      <c r="G27" s="859"/>
      <c r="H27" s="859"/>
      <c r="I27" s="859"/>
    </row>
    <row r="28" spans="1:9" s="59" customFormat="1" ht="41.45" customHeight="1" x14ac:dyDescent="0.25">
      <c r="A28" s="60" t="s">
        <v>95</v>
      </c>
      <c r="B28" s="57" t="s">
        <v>96</v>
      </c>
      <c r="C28" s="849" t="s">
        <v>97</v>
      </c>
      <c r="D28" s="849"/>
      <c r="E28" s="162" t="s">
        <v>137</v>
      </c>
      <c r="F28" s="161" t="s">
        <v>131</v>
      </c>
      <c r="G28" s="62" t="s">
        <v>135</v>
      </c>
      <c r="H28" s="62" t="s">
        <v>109</v>
      </c>
      <c r="I28" s="62" t="s">
        <v>132</v>
      </c>
    </row>
    <row r="29" spans="1:9" x14ac:dyDescent="0.25">
      <c r="A29" s="97" t="s">
        <v>102</v>
      </c>
      <c r="B29" s="84">
        <v>4</v>
      </c>
      <c r="C29" s="850">
        <v>1</v>
      </c>
      <c r="D29" s="851"/>
      <c r="E29" s="160">
        <v>30000</v>
      </c>
      <c r="F29" s="159">
        <f>F18</f>
        <v>33000</v>
      </c>
      <c r="G29" s="154">
        <v>96000</v>
      </c>
      <c r="H29" s="98">
        <v>1</v>
      </c>
      <c r="I29" s="86">
        <f>B29*F29*H29</f>
        <v>132000</v>
      </c>
    </row>
    <row r="30" spans="1:9" ht="45" x14ac:dyDescent="0.25">
      <c r="A30" s="97" t="s">
        <v>103</v>
      </c>
      <c r="B30" s="84">
        <v>4</v>
      </c>
      <c r="C30" s="850">
        <v>1</v>
      </c>
      <c r="D30" s="851"/>
      <c r="E30" s="160">
        <v>17000</v>
      </c>
      <c r="F30" s="159">
        <f>F19</f>
        <v>18700</v>
      </c>
      <c r="G30" s="163">
        <v>47600</v>
      </c>
      <c r="H30" s="98">
        <v>1</v>
      </c>
      <c r="I30" s="86">
        <f>B30*F30*H30</f>
        <v>74800</v>
      </c>
    </row>
    <row r="31" spans="1:9" ht="30" x14ac:dyDescent="0.25">
      <c r="A31" s="97" t="s">
        <v>106</v>
      </c>
      <c r="B31" s="84">
        <v>2</v>
      </c>
      <c r="C31" s="850">
        <v>1</v>
      </c>
      <c r="D31" s="851"/>
      <c r="E31" s="160">
        <v>32000</v>
      </c>
      <c r="F31" s="159">
        <f>F21</f>
        <v>40000</v>
      </c>
      <c r="G31" s="163">
        <v>44800</v>
      </c>
      <c r="H31" s="98">
        <v>0.7</v>
      </c>
      <c r="I31" s="86">
        <f>B31*F31*H31</f>
        <v>56000</v>
      </c>
    </row>
    <row r="32" spans="1:9" s="36" customFormat="1" x14ac:dyDescent="0.25">
      <c r="A32" s="99" t="s">
        <v>63</v>
      </c>
      <c r="B32" s="87"/>
      <c r="C32" s="843"/>
      <c r="D32" s="844"/>
      <c r="E32" s="844"/>
      <c r="F32" s="845"/>
      <c r="G32" s="157">
        <f>SUM(G29:G31)</f>
        <v>188400</v>
      </c>
      <c r="H32" s="155"/>
      <c r="I32" s="88">
        <f>SUM(I29:I31)</f>
        <v>262800</v>
      </c>
    </row>
    <row r="33" spans="1:9" s="36" customFormat="1" x14ac:dyDescent="0.25">
      <c r="E33" s="70"/>
      <c r="F33" s="61"/>
      <c r="G33" s="81"/>
      <c r="H33" s="61"/>
      <c r="I33" s="41"/>
    </row>
    <row r="34" spans="1:9" ht="18.75" x14ac:dyDescent="0.3">
      <c r="A34" s="846" t="s">
        <v>110</v>
      </c>
      <c r="B34" s="846"/>
      <c r="C34" s="846"/>
      <c r="D34" s="846"/>
      <c r="E34" s="846"/>
      <c r="F34" s="846"/>
      <c r="G34" s="846"/>
      <c r="H34" s="846"/>
      <c r="I34" s="846"/>
    </row>
    <row r="35" spans="1:9" s="59" customFormat="1" ht="25.5" x14ac:dyDescent="0.25">
      <c r="A35" s="847" t="s">
        <v>95</v>
      </c>
      <c r="B35" s="847"/>
      <c r="C35" s="848" t="s">
        <v>133</v>
      </c>
      <c r="D35" s="848"/>
      <c r="E35" s="848"/>
      <c r="F35" s="848"/>
      <c r="G35" s="153">
        <v>2023</v>
      </c>
      <c r="H35" s="62" t="s">
        <v>111</v>
      </c>
      <c r="I35" s="60" t="s">
        <v>63</v>
      </c>
    </row>
    <row r="36" spans="1:9" x14ac:dyDescent="0.25">
      <c r="A36" s="841" t="s">
        <v>112</v>
      </c>
      <c r="B36" s="841"/>
      <c r="C36" s="842">
        <f>I14</f>
        <v>1530000</v>
      </c>
      <c r="D36" s="842"/>
      <c r="E36" s="842"/>
      <c r="F36" s="842"/>
      <c r="G36" s="65">
        <f>E14</f>
        <v>1530000</v>
      </c>
      <c r="H36" s="65">
        <f>C36*0.302</f>
        <v>462060</v>
      </c>
      <c r="I36" s="86">
        <f>C36+H36</f>
        <v>1992060</v>
      </c>
    </row>
    <row r="37" spans="1:9" x14ac:dyDescent="0.25">
      <c r="A37" s="841" t="s">
        <v>113</v>
      </c>
      <c r="B37" s="841"/>
      <c r="C37" s="842">
        <f>I24</f>
        <v>4371200</v>
      </c>
      <c r="D37" s="842"/>
      <c r="E37" s="842"/>
      <c r="F37" s="842"/>
      <c r="G37" s="65">
        <f>E24</f>
        <v>3915000</v>
      </c>
      <c r="H37" s="65">
        <f>C37*0.302</f>
        <v>1320102.3999999999</v>
      </c>
      <c r="I37" s="86">
        <f>C37+H37</f>
        <v>5691302.4000000004</v>
      </c>
    </row>
    <row r="38" spans="1:9" x14ac:dyDescent="0.25">
      <c r="A38" s="841" t="s">
        <v>114</v>
      </c>
      <c r="B38" s="841"/>
      <c r="C38" s="842">
        <f>I32</f>
        <v>262800</v>
      </c>
      <c r="D38" s="842"/>
      <c r="E38" s="842"/>
      <c r="F38" s="842"/>
      <c r="G38" s="65">
        <f>G32</f>
        <v>188400</v>
      </c>
      <c r="H38" s="65">
        <f>C38*0.302</f>
        <v>79365.599999999991</v>
      </c>
      <c r="I38" s="86">
        <f>C38+H38</f>
        <v>342165.6</v>
      </c>
    </row>
    <row r="39" spans="1:9" s="100" customFormat="1" ht="15.75" x14ac:dyDescent="0.25">
      <c r="A39" s="838" t="s">
        <v>107</v>
      </c>
      <c r="B39" s="838"/>
      <c r="C39" s="839">
        <f>SUM(C36:F38)</f>
        <v>6164000</v>
      </c>
      <c r="D39" s="840"/>
      <c r="E39" s="840"/>
      <c r="F39" s="840"/>
      <c r="G39" s="157">
        <f>SUM(G36:G38)</f>
        <v>5633400</v>
      </c>
      <c r="H39" s="66">
        <f>SUM(H36:H38)</f>
        <v>1861528</v>
      </c>
      <c r="I39" s="66">
        <f>SUM(I36:I38)</f>
        <v>8025528</v>
      </c>
    </row>
    <row r="40" spans="1:9" x14ac:dyDescent="0.25">
      <c r="G40" s="158">
        <f>(C39-G39)/G39</f>
        <v>9.41882344587638E-2</v>
      </c>
    </row>
  </sheetData>
  <mergeCells count="38">
    <mergeCell ref="A7:I7"/>
    <mergeCell ref="A8:I8"/>
    <mergeCell ref="C10:D10"/>
    <mergeCell ref="A11:I11"/>
    <mergeCell ref="C12:D12"/>
    <mergeCell ref="H1:I1"/>
    <mergeCell ref="H2:I2"/>
    <mergeCell ref="H3:I3"/>
    <mergeCell ref="F4:I4"/>
    <mergeCell ref="A6:I6"/>
    <mergeCell ref="A21:A23"/>
    <mergeCell ref="B21:B22"/>
    <mergeCell ref="A27:I27"/>
    <mergeCell ref="I21:I23"/>
    <mergeCell ref="C14:D14"/>
    <mergeCell ref="C13:D13"/>
    <mergeCell ref="A16:I16"/>
    <mergeCell ref="C17:D17"/>
    <mergeCell ref="C18:D18"/>
    <mergeCell ref="A19:A20"/>
    <mergeCell ref="B19:B20"/>
    <mergeCell ref="I19:I20"/>
    <mergeCell ref="C32:F32"/>
    <mergeCell ref="A34:I34"/>
    <mergeCell ref="A35:B35"/>
    <mergeCell ref="C35:F35"/>
    <mergeCell ref="C28:D28"/>
    <mergeCell ref="C29:D29"/>
    <mergeCell ref="C30:D30"/>
    <mergeCell ref="C31:D31"/>
    <mergeCell ref="A39:B39"/>
    <mergeCell ref="C39:F39"/>
    <mergeCell ref="A36:B36"/>
    <mergeCell ref="C36:F36"/>
    <mergeCell ref="A37:B37"/>
    <mergeCell ref="C37:F37"/>
    <mergeCell ref="A38:B38"/>
    <mergeCell ref="C38:F38"/>
  </mergeCells>
  <pageMargins left="0.11811023622047245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workbookViewId="0">
      <selection activeCell="G7" sqref="G7"/>
    </sheetView>
  </sheetViews>
  <sheetFormatPr defaultColWidth="8.85546875" defaultRowHeight="15.75" x14ac:dyDescent="0.25"/>
  <cols>
    <col min="1" max="1" width="25.5703125" style="37" bestFit="1" customWidth="1"/>
    <col min="2" max="2" width="17" style="37" bestFit="1" customWidth="1"/>
    <col min="3" max="3" width="11.28515625" style="37" bestFit="1" customWidth="1"/>
    <col min="4" max="4" width="14.5703125" style="37" bestFit="1" customWidth="1"/>
    <col min="5" max="16384" width="8.85546875" style="37"/>
  </cols>
  <sheetData>
    <row r="1" spans="1:4" ht="31.5" x14ac:dyDescent="0.25">
      <c r="A1" s="39" t="s">
        <v>55</v>
      </c>
      <c r="B1" s="38" t="s">
        <v>58</v>
      </c>
      <c r="C1" s="38" t="s">
        <v>59</v>
      </c>
      <c r="D1" s="37" t="s">
        <v>121</v>
      </c>
    </row>
    <row r="2" spans="1:4" x14ac:dyDescent="0.25">
      <c r="A2" s="37" t="s">
        <v>119</v>
      </c>
      <c r="B2" s="54">
        <v>50000</v>
      </c>
      <c r="D2" s="37">
        <f t="shared" ref="D2:D9" si="0">B2*12+C2*4</f>
        <v>600000</v>
      </c>
    </row>
    <row r="3" spans="1:4" x14ac:dyDescent="0.25">
      <c r="A3" s="37" t="s">
        <v>56</v>
      </c>
      <c r="B3" s="54">
        <v>9000</v>
      </c>
      <c r="D3" s="37">
        <f t="shared" si="0"/>
        <v>108000</v>
      </c>
    </row>
    <row r="4" spans="1:4" x14ac:dyDescent="0.25">
      <c r="A4" s="37" t="s">
        <v>57</v>
      </c>
      <c r="B4" s="54">
        <v>13227.5</v>
      </c>
      <c r="C4" s="54">
        <v>15000</v>
      </c>
      <c r="D4" s="37">
        <f t="shared" si="0"/>
        <v>218730</v>
      </c>
    </row>
    <row r="5" spans="1:4" x14ac:dyDescent="0.25">
      <c r="A5" s="37" t="s">
        <v>60</v>
      </c>
      <c r="B5" s="54">
        <v>5000</v>
      </c>
      <c r="D5" s="37">
        <f t="shared" si="0"/>
        <v>60000</v>
      </c>
    </row>
    <row r="6" spans="1:4" x14ac:dyDescent="0.25">
      <c r="A6" s="37" t="s">
        <v>61</v>
      </c>
      <c r="B6" s="54">
        <v>17000</v>
      </c>
      <c r="D6" s="37">
        <f t="shared" si="0"/>
        <v>204000</v>
      </c>
    </row>
    <row r="7" spans="1:4" x14ac:dyDescent="0.25">
      <c r="A7" s="37" t="s">
        <v>62</v>
      </c>
      <c r="B7" s="54">
        <v>10500</v>
      </c>
      <c r="D7" s="37">
        <f t="shared" si="0"/>
        <v>126000</v>
      </c>
    </row>
    <row r="8" spans="1:4" x14ac:dyDescent="0.25">
      <c r="A8" s="37" t="s">
        <v>65</v>
      </c>
      <c r="B8" s="54">
        <v>5500</v>
      </c>
      <c r="D8" s="37">
        <f t="shared" si="0"/>
        <v>66000</v>
      </c>
    </row>
    <row r="9" spans="1:4" x14ac:dyDescent="0.25">
      <c r="A9" s="37" t="s">
        <v>120</v>
      </c>
      <c r="B9" s="54">
        <v>6000</v>
      </c>
      <c r="D9" s="37">
        <f t="shared" si="0"/>
        <v>72000</v>
      </c>
    </row>
    <row r="10" spans="1:4" s="39" customFormat="1" x14ac:dyDescent="0.25">
      <c r="A10" s="39" t="s">
        <v>63</v>
      </c>
      <c r="D10" s="39">
        <f>SUM(D2:D9)</f>
        <v>1454730</v>
      </c>
    </row>
    <row r="12" spans="1:4" x14ac:dyDescent="0.25">
      <c r="A12" s="39" t="s">
        <v>64</v>
      </c>
    </row>
    <row r="13" spans="1:4" x14ac:dyDescent="0.25">
      <c r="A13" s="37" t="s">
        <v>66</v>
      </c>
      <c r="B13" s="54">
        <v>4986</v>
      </c>
      <c r="D13" s="37">
        <f>B13*12+C13*4</f>
        <v>59832</v>
      </c>
    </row>
    <row r="14" spans="1:4" x14ac:dyDescent="0.25">
      <c r="A14" s="37" t="s">
        <v>67</v>
      </c>
      <c r="C14" s="37">
        <v>4576.5</v>
      </c>
      <c r="D14" s="37">
        <f>B14*12+C14*4</f>
        <v>18306</v>
      </c>
    </row>
    <row r="15" spans="1:4" x14ac:dyDescent="0.25">
      <c r="A15" s="37" t="s">
        <v>68</v>
      </c>
      <c r="B15" s="37">
        <v>1106</v>
      </c>
      <c r="D15" s="37">
        <f>B15*12+C15*4</f>
        <v>13272</v>
      </c>
    </row>
    <row r="16" spans="1:4" x14ac:dyDescent="0.25">
      <c r="D16" s="37">
        <f>B16*12+C16*4</f>
        <v>0</v>
      </c>
    </row>
    <row r="17" spans="1:4" s="39" customFormat="1" x14ac:dyDescent="0.25">
      <c r="A17" s="39" t="s">
        <v>63</v>
      </c>
      <c r="D17" s="39">
        <f>SUM(D13:D16)</f>
        <v>91410</v>
      </c>
    </row>
    <row r="18" spans="1:4" x14ac:dyDescent="0.25">
      <c r="D18" s="37">
        <f>D10+D17</f>
        <v>1546140</v>
      </c>
    </row>
    <row r="19" spans="1:4" x14ac:dyDescent="0.25">
      <c r="D19" s="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0"/>
  <sheetViews>
    <sheetView workbookViewId="0">
      <selection activeCell="R27" sqref="R24:R27"/>
    </sheetView>
  </sheetViews>
  <sheetFormatPr defaultRowHeight="15" outlineLevelCol="1" x14ac:dyDescent="0.25"/>
  <cols>
    <col min="1" max="1" width="23.28515625" customWidth="1"/>
    <col min="2" max="2" width="8.140625" bestFit="1" customWidth="1"/>
    <col min="3" max="3" width="6" bestFit="1" customWidth="1"/>
    <col min="4" max="4" width="3.28515625" customWidth="1"/>
    <col min="5" max="5" width="17.28515625" style="76" hidden="1" customWidth="1" outlineLevel="1"/>
    <col min="6" max="6" width="15.85546875" style="69" customWidth="1" collapsed="1"/>
    <col min="7" max="7" width="14.7109375" style="80" hidden="1" customWidth="1" outlineLevel="1"/>
    <col min="8" max="8" width="18" style="96" bestFit="1" customWidth="1" collapsed="1"/>
    <col min="9" max="9" width="16" bestFit="1" customWidth="1"/>
  </cols>
  <sheetData>
    <row r="1" spans="1:9" x14ac:dyDescent="0.25">
      <c r="E1" s="70"/>
      <c r="F1" s="284" t="s">
        <v>165</v>
      </c>
      <c r="G1" s="81"/>
      <c r="I1" s="283"/>
    </row>
    <row r="2" spans="1:9" x14ac:dyDescent="0.25">
      <c r="E2" s="70"/>
      <c r="F2" s="284" t="s">
        <v>166</v>
      </c>
      <c r="G2" s="81"/>
      <c r="I2" s="283"/>
    </row>
    <row r="3" spans="1:9" x14ac:dyDescent="0.25">
      <c r="E3" s="70"/>
      <c r="F3" s="284" t="s">
        <v>167</v>
      </c>
      <c r="G3" s="81"/>
      <c r="I3" s="283"/>
    </row>
    <row r="4" spans="1:9" x14ac:dyDescent="0.25">
      <c r="E4" s="58"/>
      <c r="F4" s="284" t="s">
        <v>0</v>
      </c>
      <c r="G4" s="283"/>
      <c r="I4" s="283"/>
    </row>
    <row r="5" spans="1:9" x14ac:dyDescent="0.25">
      <c r="E5" s="71"/>
      <c r="F5" s="67"/>
      <c r="G5" s="77"/>
      <c r="H5" s="56"/>
      <c r="I5" s="56"/>
    </row>
    <row r="6" spans="1:9" ht="18.75" x14ac:dyDescent="0.3">
      <c r="A6" s="864" t="s">
        <v>168</v>
      </c>
      <c r="B6" s="864"/>
      <c r="C6" s="864"/>
      <c r="D6" s="864"/>
      <c r="E6" s="864"/>
      <c r="F6" s="864"/>
      <c r="G6" s="864"/>
      <c r="H6" s="864"/>
      <c r="I6" s="864"/>
    </row>
    <row r="7" spans="1:9" ht="18.75" x14ac:dyDescent="0.3">
      <c r="A7" s="864" t="s">
        <v>93</v>
      </c>
      <c r="B7" s="864"/>
      <c r="C7" s="864"/>
      <c r="D7" s="864"/>
      <c r="E7" s="864"/>
      <c r="F7" s="864"/>
      <c r="G7" s="864"/>
      <c r="H7" s="864"/>
      <c r="I7" s="864"/>
    </row>
    <row r="8" spans="1:9" ht="18.75" x14ac:dyDescent="0.3">
      <c r="A8" s="864" t="s">
        <v>94</v>
      </c>
      <c r="B8" s="864"/>
      <c r="C8" s="864"/>
      <c r="D8" s="864"/>
      <c r="E8" s="864"/>
      <c r="F8" s="864"/>
      <c r="G8" s="864"/>
      <c r="H8" s="864"/>
      <c r="I8" s="864"/>
    </row>
    <row r="9" spans="1:9" x14ac:dyDescent="0.25">
      <c r="I9" s="282"/>
    </row>
    <row r="10" spans="1:9" s="59" customFormat="1" ht="38.25" x14ac:dyDescent="0.25">
      <c r="A10" s="60" t="s">
        <v>95</v>
      </c>
      <c r="B10" s="57" t="s">
        <v>96</v>
      </c>
      <c r="C10" s="849" t="s">
        <v>97</v>
      </c>
      <c r="D10" s="849"/>
      <c r="E10" s="72" t="s">
        <v>98</v>
      </c>
      <c r="F10" s="62" t="s">
        <v>134</v>
      </c>
      <c r="G10" s="78" t="s">
        <v>99</v>
      </c>
      <c r="H10" s="62" t="s">
        <v>100</v>
      </c>
      <c r="I10" s="62" t="s">
        <v>130</v>
      </c>
    </row>
    <row r="11" spans="1:9" x14ac:dyDescent="0.25">
      <c r="A11" s="853"/>
      <c r="B11" s="853"/>
      <c r="C11" s="853"/>
      <c r="D11" s="853"/>
      <c r="E11" s="853"/>
      <c r="F11" s="853"/>
      <c r="G11" s="853"/>
      <c r="H11" s="853"/>
      <c r="I11" s="853"/>
    </row>
    <row r="12" spans="1:9" x14ac:dyDescent="0.25">
      <c r="A12" s="174" t="s">
        <v>69</v>
      </c>
      <c r="B12" s="174">
        <v>1</v>
      </c>
      <c r="C12" s="852">
        <v>12</v>
      </c>
      <c r="D12" s="852"/>
      <c r="E12" s="73">
        <v>70000</v>
      </c>
      <c r="F12" s="68">
        <v>70000</v>
      </c>
      <c r="G12" s="79">
        <f>(F12-E12)/E12/2</f>
        <v>0</v>
      </c>
      <c r="H12" s="85">
        <f>F12</f>
        <v>70000</v>
      </c>
      <c r="I12" s="86">
        <f>H12*C12</f>
        <v>840000</v>
      </c>
    </row>
    <row r="13" spans="1:9" x14ac:dyDescent="0.25">
      <c r="A13" s="174" t="s">
        <v>70</v>
      </c>
      <c r="B13" s="174">
        <v>1</v>
      </c>
      <c r="C13" s="852">
        <v>12</v>
      </c>
      <c r="D13" s="852"/>
      <c r="E13" s="73">
        <v>57500</v>
      </c>
      <c r="F13" s="68">
        <v>57500</v>
      </c>
      <c r="G13" s="79">
        <f>(F13-E13)/E13/2</f>
        <v>0</v>
      </c>
      <c r="H13" s="85">
        <f t="shared" ref="H13" si="0">F13</f>
        <v>57500</v>
      </c>
      <c r="I13" s="86">
        <f t="shared" ref="I13" si="1">H13*C13</f>
        <v>690000</v>
      </c>
    </row>
    <row r="14" spans="1:9" s="36" customFormat="1" x14ac:dyDescent="0.25">
      <c r="A14" s="87" t="s">
        <v>63</v>
      </c>
      <c r="B14" s="87">
        <f>SUM(B12:B13)</f>
        <v>2</v>
      </c>
      <c r="C14" s="853"/>
      <c r="D14" s="853"/>
      <c r="E14" s="74">
        <f>(E12+E13)*12</f>
        <v>1530000</v>
      </c>
      <c r="F14" s="63"/>
      <c r="G14" s="82">
        <f>(I14-E14)/E14</f>
        <v>0</v>
      </c>
      <c r="H14" s="63">
        <f>SUM(H12:H13)</f>
        <v>127500</v>
      </c>
      <c r="I14" s="88">
        <f>SUM(I12:I13)</f>
        <v>1530000</v>
      </c>
    </row>
    <row r="15" spans="1:9" s="36" customFormat="1" x14ac:dyDescent="0.25">
      <c r="C15" s="89"/>
      <c r="D15" s="89"/>
      <c r="E15" s="75"/>
      <c r="F15" s="64"/>
      <c r="G15" s="83"/>
      <c r="H15" s="90"/>
      <c r="I15" s="41"/>
    </row>
    <row r="16" spans="1:9" x14ac:dyDescent="0.25">
      <c r="A16" s="853" t="s">
        <v>101</v>
      </c>
      <c r="B16" s="853"/>
      <c r="C16" s="853"/>
      <c r="D16" s="853"/>
      <c r="E16" s="853"/>
      <c r="F16" s="853"/>
      <c r="G16" s="853"/>
      <c r="H16" s="853"/>
      <c r="I16" s="853"/>
    </row>
    <row r="17" spans="1:9" x14ac:dyDescent="0.25">
      <c r="A17" s="84" t="s">
        <v>71</v>
      </c>
      <c r="B17" s="84">
        <v>1</v>
      </c>
      <c r="C17" s="852">
        <v>12</v>
      </c>
      <c r="D17" s="852"/>
      <c r="E17" s="73">
        <v>57500</v>
      </c>
      <c r="F17" s="68">
        <v>57500</v>
      </c>
      <c r="G17" s="79">
        <f t="shared" ref="G17:G23" si="2">(F17-E17)/E17</f>
        <v>0</v>
      </c>
      <c r="H17" s="85">
        <f>B17*F17</f>
        <v>57500</v>
      </c>
      <c r="I17" s="86">
        <f>H17*C17</f>
        <v>690000</v>
      </c>
    </row>
    <row r="18" spans="1:9" x14ac:dyDescent="0.25">
      <c r="A18" s="84" t="s">
        <v>162</v>
      </c>
      <c r="B18" s="84">
        <v>4</v>
      </c>
      <c r="C18" s="852">
        <v>12</v>
      </c>
      <c r="D18" s="852"/>
      <c r="E18" s="73">
        <v>30000</v>
      </c>
      <c r="F18" s="68">
        <v>33000</v>
      </c>
      <c r="G18" s="79">
        <f t="shared" si="2"/>
        <v>0.1</v>
      </c>
      <c r="H18" s="85">
        <f>B18*F18</f>
        <v>132000</v>
      </c>
      <c r="I18" s="86">
        <f>H18*C18</f>
        <v>1584000</v>
      </c>
    </row>
    <row r="19" spans="1:9" x14ac:dyDescent="0.25">
      <c r="A19" s="854" t="s">
        <v>103</v>
      </c>
      <c r="B19" s="855">
        <v>4</v>
      </c>
      <c r="C19" s="91" t="s">
        <v>104</v>
      </c>
      <c r="D19" s="84">
        <f>12-D20</f>
        <v>9</v>
      </c>
      <c r="E19" s="73">
        <v>17000</v>
      </c>
      <c r="F19" s="68">
        <v>18700</v>
      </c>
      <c r="G19" s="79">
        <f t="shared" si="2"/>
        <v>0.1</v>
      </c>
      <c r="H19" s="85">
        <f>B19*F19</f>
        <v>74800</v>
      </c>
      <c r="I19" s="842">
        <f>H19*D19+H20*D20</f>
        <v>937200</v>
      </c>
    </row>
    <row r="20" spans="1:9" x14ac:dyDescent="0.25">
      <c r="A20" s="854"/>
      <c r="B20" s="855"/>
      <c r="C20" s="91" t="s">
        <v>105</v>
      </c>
      <c r="D20" s="84">
        <v>3</v>
      </c>
      <c r="E20" s="73">
        <v>20000</v>
      </c>
      <c r="F20" s="68">
        <v>22000</v>
      </c>
      <c r="G20" s="79">
        <f t="shared" si="2"/>
        <v>0.1</v>
      </c>
      <c r="H20" s="85">
        <f>B19*F20</f>
        <v>88000</v>
      </c>
      <c r="I20" s="842"/>
    </row>
    <row r="21" spans="1:9" x14ac:dyDescent="0.25">
      <c r="A21" s="856" t="s">
        <v>106</v>
      </c>
      <c r="B21" s="855">
        <v>2</v>
      </c>
      <c r="C21" s="91" t="s">
        <v>104</v>
      </c>
      <c r="D21" s="84">
        <f>12-D22</f>
        <v>7</v>
      </c>
      <c r="E21" s="73">
        <v>32000</v>
      </c>
      <c r="F21" s="68">
        <v>40000</v>
      </c>
      <c r="G21" s="79">
        <f t="shared" si="2"/>
        <v>0.25</v>
      </c>
      <c r="H21" s="85">
        <f>B21*F21</f>
        <v>80000</v>
      </c>
      <c r="I21" s="860">
        <f>H21*D21+H22*D22+H23*D23</f>
        <v>1160000</v>
      </c>
    </row>
    <row r="22" spans="1:9" x14ac:dyDescent="0.25">
      <c r="A22" s="857"/>
      <c r="B22" s="855"/>
      <c r="C22" s="91" t="s">
        <v>105</v>
      </c>
      <c r="D22" s="84">
        <v>5</v>
      </c>
      <c r="E22" s="73">
        <v>36000</v>
      </c>
      <c r="F22" s="68">
        <v>40000</v>
      </c>
      <c r="G22" s="79">
        <f t="shared" si="2"/>
        <v>0.1111111111111111</v>
      </c>
      <c r="H22" s="85">
        <f>B21*F22</f>
        <v>80000</v>
      </c>
      <c r="I22" s="861"/>
    </row>
    <row r="23" spans="1:9" x14ac:dyDescent="0.25">
      <c r="A23" s="858"/>
      <c r="B23" s="84">
        <v>1</v>
      </c>
      <c r="C23" s="91" t="s">
        <v>105</v>
      </c>
      <c r="D23" s="84">
        <v>5</v>
      </c>
      <c r="E23" s="73">
        <v>25000</v>
      </c>
      <c r="F23" s="68">
        <v>40000</v>
      </c>
      <c r="G23" s="79">
        <f t="shared" si="2"/>
        <v>0.6</v>
      </c>
      <c r="H23" s="85">
        <f>B23*F23</f>
        <v>40000</v>
      </c>
      <c r="I23" s="862"/>
    </row>
    <row r="24" spans="1:9" s="36" customFormat="1" x14ac:dyDescent="0.25">
      <c r="A24" s="87" t="s">
        <v>63</v>
      </c>
      <c r="B24" s="87">
        <f>SUM(B17:B23)</f>
        <v>12</v>
      </c>
      <c r="C24" s="87"/>
      <c r="D24" s="87"/>
      <c r="E24" s="156">
        <f>E17*12+E18*B18*12+(E19*D19+E20*D20)*B19+(E21*D21+E22*D22)*B21+(E23*D23)</f>
        <v>3915000</v>
      </c>
      <c r="F24" s="63"/>
      <c r="G24" s="82">
        <f>(I24-E24)/E24</f>
        <v>0.11652618135376756</v>
      </c>
      <c r="H24" s="85"/>
      <c r="I24" s="88">
        <f>SUM(I17:I23)</f>
        <v>4371200</v>
      </c>
    </row>
    <row r="25" spans="1:9" s="95" customFormat="1" ht="15.75" x14ac:dyDescent="0.25">
      <c r="A25" s="92" t="s">
        <v>107</v>
      </c>
      <c r="B25" s="92">
        <f>B14+B24</f>
        <v>14</v>
      </c>
      <c r="C25" s="92"/>
      <c r="D25" s="92"/>
      <c r="E25" s="93"/>
      <c r="F25" s="92"/>
      <c r="G25" s="82"/>
      <c r="H25" s="92"/>
      <c r="I25" s="94">
        <f>I14+I24</f>
        <v>5901200</v>
      </c>
    </row>
    <row r="26" spans="1:9" x14ac:dyDescent="0.25">
      <c r="I26" s="40"/>
    </row>
    <row r="27" spans="1:9" ht="36" customHeight="1" x14ac:dyDescent="0.25">
      <c r="A27" s="859" t="s">
        <v>108</v>
      </c>
      <c r="B27" s="859"/>
      <c r="C27" s="859"/>
      <c r="D27" s="859"/>
      <c r="E27" s="859"/>
      <c r="F27" s="859"/>
      <c r="G27" s="859"/>
      <c r="H27" s="859"/>
      <c r="I27" s="859"/>
    </row>
    <row r="28" spans="1:9" s="59" customFormat="1" ht="41.45" customHeight="1" x14ac:dyDescent="0.25">
      <c r="A28" s="60" t="s">
        <v>95</v>
      </c>
      <c r="B28" s="57" t="s">
        <v>96</v>
      </c>
      <c r="C28" s="849" t="s">
        <v>97</v>
      </c>
      <c r="D28" s="849"/>
      <c r="E28" s="162" t="s">
        <v>137</v>
      </c>
      <c r="F28" s="161" t="s">
        <v>131</v>
      </c>
      <c r="G28" s="62" t="s">
        <v>135</v>
      </c>
      <c r="H28" s="62" t="s">
        <v>109</v>
      </c>
      <c r="I28" s="62" t="s">
        <v>132</v>
      </c>
    </row>
    <row r="29" spans="1:9" x14ac:dyDescent="0.25">
      <c r="A29" s="97" t="s">
        <v>102</v>
      </c>
      <c r="B29" s="84">
        <v>4</v>
      </c>
      <c r="C29" s="850">
        <v>1</v>
      </c>
      <c r="D29" s="851"/>
      <c r="E29" s="160">
        <v>30000</v>
      </c>
      <c r="F29" s="159">
        <f>F18</f>
        <v>33000</v>
      </c>
      <c r="G29" s="154">
        <v>96000</v>
      </c>
      <c r="H29" s="98">
        <v>1</v>
      </c>
      <c r="I29" s="86">
        <f>B29*F29*H29</f>
        <v>132000</v>
      </c>
    </row>
    <row r="30" spans="1:9" ht="45" x14ac:dyDescent="0.25">
      <c r="A30" s="97" t="s">
        <v>103</v>
      </c>
      <c r="B30" s="84">
        <v>4</v>
      </c>
      <c r="C30" s="850">
        <v>1</v>
      </c>
      <c r="D30" s="851"/>
      <c r="E30" s="160">
        <v>17000</v>
      </c>
      <c r="F30" s="159">
        <f>F19</f>
        <v>18700</v>
      </c>
      <c r="G30" s="163">
        <v>47600</v>
      </c>
      <c r="H30" s="98">
        <v>1</v>
      </c>
      <c r="I30" s="86">
        <f>B30*F30*H30</f>
        <v>74800</v>
      </c>
    </row>
    <row r="31" spans="1:9" ht="30" x14ac:dyDescent="0.25">
      <c r="A31" s="97" t="s">
        <v>106</v>
      </c>
      <c r="B31" s="84">
        <v>2</v>
      </c>
      <c r="C31" s="850">
        <v>1</v>
      </c>
      <c r="D31" s="851"/>
      <c r="E31" s="160">
        <v>32000</v>
      </c>
      <c r="F31" s="159">
        <f>F21</f>
        <v>40000</v>
      </c>
      <c r="G31" s="163">
        <v>44800</v>
      </c>
      <c r="H31" s="98">
        <v>0.7</v>
      </c>
      <c r="I31" s="86">
        <f>B31*F31*H31</f>
        <v>56000</v>
      </c>
    </row>
    <row r="32" spans="1:9" s="36" customFormat="1" x14ac:dyDescent="0.25">
      <c r="A32" s="99" t="s">
        <v>63</v>
      </c>
      <c r="B32" s="87"/>
      <c r="C32" s="843"/>
      <c r="D32" s="844"/>
      <c r="E32" s="844"/>
      <c r="F32" s="845"/>
      <c r="G32" s="157">
        <f>SUM(G29:G31)</f>
        <v>188400</v>
      </c>
      <c r="H32" s="155"/>
      <c r="I32" s="88">
        <f>SUM(I29:I31)</f>
        <v>262800</v>
      </c>
    </row>
    <row r="33" spans="1:9" s="36" customFormat="1" x14ac:dyDescent="0.25">
      <c r="E33" s="70"/>
      <c r="F33" s="61"/>
      <c r="G33" s="81"/>
      <c r="H33" s="61"/>
      <c r="I33" s="41"/>
    </row>
    <row r="34" spans="1:9" ht="18.75" x14ac:dyDescent="0.3">
      <c r="A34" s="846" t="s">
        <v>110</v>
      </c>
      <c r="B34" s="846"/>
      <c r="C34" s="846"/>
      <c r="D34" s="846"/>
      <c r="E34" s="846"/>
      <c r="F34" s="846"/>
      <c r="G34" s="846"/>
      <c r="H34" s="846"/>
      <c r="I34" s="846"/>
    </row>
    <row r="35" spans="1:9" s="59" customFormat="1" ht="25.5" x14ac:dyDescent="0.25">
      <c r="A35" s="847" t="s">
        <v>95</v>
      </c>
      <c r="B35" s="847"/>
      <c r="C35" s="848" t="s">
        <v>133</v>
      </c>
      <c r="D35" s="848"/>
      <c r="E35" s="848"/>
      <c r="F35" s="848"/>
      <c r="G35" s="153">
        <v>2023</v>
      </c>
      <c r="H35" s="62" t="s">
        <v>111</v>
      </c>
      <c r="I35" s="60" t="s">
        <v>63</v>
      </c>
    </row>
    <row r="36" spans="1:9" x14ac:dyDescent="0.25">
      <c r="A36" s="841" t="s">
        <v>112</v>
      </c>
      <c r="B36" s="841"/>
      <c r="C36" s="842">
        <f>I14</f>
        <v>1530000</v>
      </c>
      <c r="D36" s="842"/>
      <c r="E36" s="842"/>
      <c r="F36" s="842"/>
      <c r="G36" s="65">
        <f>E14</f>
        <v>1530000</v>
      </c>
      <c r="H36" s="65">
        <f>C36*0.302</f>
        <v>462060</v>
      </c>
      <c r="I36" s="86">
        <f>C36+H36</f>
        <v>1992060</v>
      </c>
    </row>
    <row r="37" spans="1:9" x14ac:dyDescent="0.25">
      <c r="A37" s="841" t="s">
        <v>113</v>
      </c>
      <c r="B37" s="841"/>
      <c r="C37" s="842">
        <f>I24</f>
        <v>4371200</v>
      </c>
      <c r="D37" s="842"/>
      <c r="E37" s="842"/>
      <c r="F37" s="842"/>
      <c r="G37" s="65">
        <f>E24</f>
        <v>3915000</v>
      </c>
      <c r="H37" s="65">
        <f>C37*0.302</f>
        <v>1320102.3999999999</v>
      </c>
      <c r="I37" s="86">
        <f>C37+H37</f>
        <v>5691302.4000000004</v>
      </c>
    </row>
    <row r="38" spans="1:9" x14ac:dyDescent="0.25">
      <c r="A38" s="841" t="s">
        <v>114</v>
      </c>
      <c r="B38" s="841"/>
      <c r="C38" s="842">
        <f>I32</f>
        <v>262800</v>
      </c>
      <c r="D38" s="842"/>
      <c r="E38" s="842"/>
      <c r="F38" s="842"/>
      <c r="G38" s="65">
        <f>G32</f>
        <v>188400</v>
      </c>
      <c r="H38" s="65">
        <f>C38*0.302</f>
        <v>79365.599999999991</v>
      </c>
      <c r="I38" s="86">
        <f>C38+H38</f>
        <v>342165.6</v>
      </c>
    </row>
    <row r="39" spans="1:9" s="100" customFormat="1" ht="15.75" x14ac:dyDescent="0.25">
      <c r="A39" s="838" t="s">
        <v>107</v>
      </c>
      <c r="B39" s="838"/>
      <c r="C39" s="839">
        <f>SUM(C36:F38)</f>
        <v>6164000</v>
      </c>
      <c r="D39" s="840"/>
      <c r="E39" s="840"/>
      <c r="F39" s="840"/>
      <c r="G39" s="157">
        <f>SUM(G36:G38)</f>
        <v>5633400</v>
      </c>
      <c r="H39" s="66">
        <f>SUM(H36:H38)</f>
        <v>1861528</v>
      </c>
      <c r="I39" s="66">
        <f>SUM(I36:I38)</f>
        <v>8025528</v>
      </c>
    </row>
    <row r="40" spans="1:9" x14ac:dyDescent="0.25">
      <c r="G40" s="158">
        <f>(C39-G39)/G39</f>
        <v>9.41882344587638E-2</v>
      </c>
    </row>
  </sheetData>
  <mergeCells count="34">
    <mergeCell ref="A39:B39"/>
    <mergeCell ref="C39:F39"/>
    <mergeCell ref="A36:B36"/>
    <mergeCell ref="C36:F36"/>
    <mergeCell ref="A37:B37"/>
    <mergeCell ref="C37:F37"/>
    <mergeCell ref="A38:B38"/>
    <mergeCell ref="C38:F38"/>
    <mergeCell ref="C30:D30"/>
    <mergeCell ref="C31:D31"/>
    <mergeCell ref="C32:F32"/>
    <mergeCell ref="A34:I34"/>
    <mergeCell ref="A35:B35"/>
    <mergeCell ref="C35:F35"/>
    <mergeCell ref="C29:D29"/>
    <mergeCell ref="A16:I16"/>
    <mergeCell ref="C17:D17"/>
    <mergeCell ref="C18:D18"/>
    <mergeCell ref="A19:A20"/>
    <mergeCell ref="B19:B20"/>
    <mergeCell ref="I19:I20"/>
    <mergeCell ref="A21:A23"/>
    <mergeCell ref="B21:B22"/>
    <mergeCell ref="I21:I23"/>
    <mergeCell ref="A27:I27"/>
    <mergeCell ref="C28:D28"/>
    <mergeCell ref="C14:D14"/>
    <mergeCell ref="A6:I6"/>
    <mergeCell ref="A7:I7"/>
    <mergeCell ref="A8:I8"/>
    <mergeCell ref="C10:D10"/>
    <mergeCell ref="A11:I11"/>
    <mergeCell ref="C12:D12"/>
    <mergeCell ref="C13:D13"/>
  </mergeCells>
  <pageMargins left="0.70866141732283472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Смета Проект</vt:lpstr>
      <vt:lpstr>Смета</vt:lpstr>
      <vt:lpstr>Штатное расписание 25</vt:lpstr>
      <vt:lpstr>ХД 2025</vt:lpstr>
      <vt:lpstr>Штатное проект</vt:lpstr>
      <vt:lpstr>ХД</vt:lpstr>
      <vt:lpstr>Штатное </vt:lpstr>
      <vt:lpstr>Смета!Область_печати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ТСЖ</cp:lastModifiedBy>
  <cp:lastPrinted>2025-07-05T15:37:39Z</cp:lastPrinted>
  <dcterms:created xsi:type="dcterms:W3CDTF">2022-12-14T03:14:16Z</dcterms:created>
  <dcterms:modified xsi:type="dcterms:W3CDTF">2025-07-05T15:40:04Z</dcterms:modified>
</cp:coreProperties>
</file>